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416"/>
  <workbookPr autoCompressPictures="0"/>
  <bookViews>
    <workbookView xWindow="0" yWindow="0" windowWidth="25600" windowHeight="14040" tabRatio="740"/>
  </bookViews>
  <sheets>
    <sheet name="Avertissement et instructions" sheetId="3" r:id="rId1"/>
    <sheet name="Saisie, cash-flow, rendement" sheetId="1" r:id="rId2"/>
    <sheet name="Calcul de couverture dette" sheetId="4" r:id="rId3"/>
    <sheet name="Calculs hypothécaires" sheetId="2" r:id="rId4"/>
    <sheet name="Feuil1" sheetId="5" r:id="rId5"/>
    <sheet name="Feuil2" sheetId="6" r:id="rId6"/>
    <sheet name="Feuil3" sheetId="7"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C35" i="1" l="1"/>
  <c r="G55" i="1"/>
  <c r="F68" i="1"/>
  <c r="F65" i="1"/>
  <c r="G68" i="1"/>
  <c r="G65" i="1"/>
  <c r="H68" i="1"/>
  <c r="H65" i="1"/>
  <c r="I68" i="1"/>
  <c r="I65" i="1"/>
  <c r="J68" i="1"/>
  <c r="J65" i="1"/>
  <c r="K68" i="1"/>
  <c r="K65" i="1"/>
  <c r="L68" i="1"/>
  <c r="L65" i="1"/>
  <c r="M68" i="1"/>
  <c r="M65" i="1"/>
  <c r="N68" i="1"/>
  <c r="N65" i="1"/>
  <c r="O68" i="1"/>
  <c r="O65" i="1"/>
  <c r="P68" i="1"/>
  <c r="P65" i="1"/>
  <c r="Q68" i="1"/>
  <c r="Q65" i="1"/>
  <c r="R68" i="1"/>
  <c r="R65" i="1"/>
  <c r="S68" i="1"/>
  <c r="S65" i="1"/>
  <c r="T68" i="1"/>
  <c r="T65" i="1"/>
  <c r="U68" i="1"/>
  <c r="U65" i="1"/>
  <c r="V68" i="1"/>
  <c r="V65" i="1"/>
  <c r="W68" i="1"/>
  <c r="W65" i="1"/>
  <c r="X68" i="1"/>
  <c r="X65" i="1"/>
  <c r="Y68" i="1"/>
  <c r="Y65" i="1"/>
  <c r="Z68" i="1"/>
  <c r="Z65" i="1"/>
  <c r="AA68" i="1"/>
  <c r="AA65" i="1"/>
  <c r="AB68" i="1"/>
  <c r="D68" i="1"/>
  <c r="D59" i="1"/>
  <c r="D65" i="1"/>
  <c r="E68" i="1"/>
  <c r="C47" i="1"/>
  <c r="C44" i="1"/>
  <c r="C43" i="1"/>
  <c r="C17" i="4"/>
  <c r="C19" i="4"/>
  <c r="C5" i="4"/>
  <c r="C13" i="4"/>
  <c r="C32" i="1"/>
  <c r="C26" i="1"/>
  <c r="C65" i="1"/>
  <c r="D66" i="1"/>
  <c r="E66" i="1"/>
  <c r="E65" i="1"/>
  <c r="F66" i="1"/>
  <c r="G66" i="1"/>
  <c r="H66" i="1"/>
  <c r="E67" i="1"/>
  <c r="F67" i="1"/>
  <c r="G67" i="1"/>
  <c r="H67" i="1"/>
  <c r="I67" i="1"/>
  <c r="J67" i="1"/>
  <c r="K67" i="1"/>
  <c r="L67" i="1"/>
  <c r="M67" i="1"/>
  <c r="N67" i="1"/>
  <c r="O67" i="1"/>
  <c r="P67" i="1"/>
  <c r="Q67" i="1"/>
  <c r="R67" i="1"/>
  <c r="S67" i="1"/>
  <c r="T67" i="1"/>
  <c r="U67" i="1"/>
  <c r="V67" i="1"/>
  <c r="W67" i="1"/>
  <c r="X67" i="1"/>
  <c r="Y67" i="1"/>
  <c r="Z67" i="1"/>
  <c r="AA67" i="1"/>
  <c r="AB65" i="1"/>
  <c r="AB67" i="1"/>
  <c r="D67" i="1"/>
  <c r="E59" i="1"/>
  <c r="F59" i="1"/>
  <c r="G59" i="1"/>
  <c r="H59" i="1"/>
  <c r="I59" i="1"/>
  <c r="J59" i="1"/>
  <c r="K59" i="1"/>
  <c r="L59" i="1"/>
  <c r="M59" i="1"/>
  <c r="N59" i="1"/>
  <c r="O59" i="1"/>
  <c r="P59" i="1"/>
  <c r="Q59" i="1"/>
  <c r="R59" i="1"/>
  <c r="S59" i="1"/>
  <c r="T59" i="1"/>
  <c r="U59" i="1"/>
  <c r="V59" i="1"/>
  <c r="W59" i="1"/>
  <c r="X59" i="1"/>
  <c r="Y59" i="1"/>
  <c r="Z59" i="1"/>
  <c r="AA59" i="1"/>
  <c r="AB59" i="1"/>
  <c r="AC33" i="1"/>
  <c r="AC34" i="1"/>
  <c r="AC58" i="1"/>
  <c r="C54" i="1"/>
  <c r="D54" i="1"/>
  <c r="E54" i="1"/>
  <c r="F54" i="1"/>
  <c r="G54" i="1"/>
  <c r="H54" i="1"/>
  <c r="I54" i="1"/>
  <c r="J54" i="1"/>
  <c r="K54" i="1"/>
  <c r="L54" i="1"/>
  <c r="M54" i="1"/>
  <c r="N54" i="1"/>
  <c r="O54" i="1"/>
  <c r="P54" i="1"/>
  <c r="Q54" i="1"/>
  <c r="R54" i="1"/>
  <c r="S54" i="1"/>
  <c r="T54" i="1"/>
  <c r="U54" i="1"/>
  <c r="V54" i="1"/>
  <c r="W54" i="1"/>
  <c r="X54" i="1"/>
  <c r="Y54" i="1"/>
  <c r="Z54" i="1"/>
  <c r="AA54" i="1"/>
  <c r="AB54" i="1"/>
  <c r="B5" i="2"/>
  <c r="E15" i="1"/>
  <c r="H15" i="1"/>
  <c r="C5" i="2"/>
  <c r="I4" i="2"/>
  <c r="I5" i="2"/>
  <c r="I6" i="2"/>
  <c r="I7" i="2"/>
  <c r="I8" i="2"/>
  <c r="D5" i="2"/>
  <c r="E5" i="2"/>
  <c r="B6" i="2"/>
  <c r="C6" i="2"/>
  <c r="D6" i="2"/>
  <c r="E6" i="2"/>
  <c r="B7" i="2"/>
  <c r="C7" i="2"/>
  <c r="D7" i="2"/>
  <c r="E7" i="2"/>
  <c r="B8" i="2"/>
  <c r="C8" i="2"/>
  <c r="D8" i="2"/>
  <c r="E8" i="2"/>
  <c r="B9" i="2"/>
  <c r="C9" i="2"/>
  <c r="D9" i="2"/>
  <c r="E9" i="2"/>
  <c r="B10" i="2"/>
  <c r="C10" i="2"/>
  <c r="D10" i="2"/>
  <c r="E10" i="2"/>
  <c r="B11" i="2"/>
  <c r="C11" i="2"/>
  <c r="D11" i="2"/>
  <c r="E11" i="2"/>
  <c r="B12" i="2"/>
  <c r="C12" i="2"/>
  <c r="D12" i="2"/>
  <c r="E12" i="2"/>
  <c r="B13" i="2"/>
  <c r="C13" i="2"/>
  <c r="D13" i="2"/>
  <c r="E13" i="2"/>
  <c r="B14" i="2"/>
  <c r="C14" i="2"/>
  <c r="D14" i="2"/>
  <c r="E14" i="2"/>
  <c r="B15" i="2"/>
  <c r="C15" i="2"/>
  <c r="D15" i="2"/>
  <c r="E15" i="2"/>
  <c r="B16" i="2"/>
  <c r="C16" i="2"/>
  <c r="D16" i="2"/>
  <c r="E16" i="2"/>
  <c r="B17" i="2"/>
  <c r="C17" i="2"/>
  <c r="D17" i="2"/>
  <c r="E17" i="2"/>
  <c r="B18" i="2"/>
  <c r="C18" i="2"/>
  <c r="D18" i="2"/>
  <c r="E18" i="2"/>
  <c r="B19" i="2"/>
  <c r="C19" i="2"/>
  <c r="D19" i="2"/>
  <c r="E19" i="2"/>
  <c r="B20" i="2"/>
  <c r="C20" i="2"/>
  <c r="D20" i="2"/>
  <c r="E20" i="2"/>
  <c r="B21" i="2"/>
  <c r="C21" i="2"/>
  <c r="D21" i="2"/>
  <c r="E21" i="2"/>
  <c r="B22" i="2"/>
  <c r="C22" i="2"/>
  <c r="D22" i="2"/>
  <c r="E22" i="2"/>
  <c r="B23" i="2"/>
  <c r="C23" i="2"/>
  <c r="D23" i="2"/>
  <c r="E23" i="2"/>
  <c r="B24" i="2"/>
  <c r="C24" i="2"/>
  <c r="D24" i="2"/>
  <c r="E24" i="2"/>
  <c r="B25" i="2"/>
  <c r="C25" i="2"/>
  <c r="D25" i="2"/>
  <c r="E25" i="2"/>
  <c r="B26" i="2"/>
  <c r="C26" i="2"/>
  <c r="D26" i="2"/>
  <c r="E26" i="2"/>
  <c r="B27" i="2"/>
  <c r="C27" i="2"/>
  <c r="D27" i="2"/>
  <c r="E27" i="2"/>
  <c r="B28" i="2"/>
  <c r="C28" i="2"/>
  <c r="D28" i="2"/>
  <c r="E28" i="2"/>
  <c r="B29" i="2"/>
  <c r="C29" i="2"/>
  <c r="D29" i="2"/>
  <c r="E29" i="2"/>
  <c r="B30" i="2"/>
  <c r="C30" i="2"/>
  <c r="D30" i="2"/>
  <c r="E30" i="2"/>
  <c r="B31" i="2"/>
  <c r="C31" i="2"/>
  <c r="D31" i="2"/>
  <c r="E31" i="2"/>
  <c r="B32" i="2"/>
  <c r="C32" i="2"/>
  <c r="D32" i="2"/>
  <c r="E32" i="2"/>
  <c r="B33" i="2"/>
  <c r="C33" i="2"/>
  <c r="D33" i="2"/>
  <c r="E33" i="2"/>
  <c r="B34" i="2"/>
  <c r="C34" i="2"/>
  <c r="D34" i="2"/>
  <c r="E34" i="2"/>
  <c r="B35" i="2"/>
  <c r="C35" i="2"/>
  <c r="D35" i="2"/>
  <c r="E35" i="2"/>
  <c r="B36" i="2"/>
  <c r="C36" i="2"/>
  <c r="D36" i="2"/>
  <c r="E36" i="2"/>
  <c r="B37" i="2"/>
  <c r="C37" i="2"/>
  <c r="D37" i="2"/>
  <c r="E37" i="2"/>
  <c r="B38" i="2"/>
  <c r="C38" i="2"/>
  <c r="D38" i="2"/>
  <c r="E38" i="2"/>
  <c r="B39" i="2"/>
  <c r="C39" i="2"/>
  <c r="D39" i="2"/>
  <c r="E39" i="2"/>
  <c r="B40" i="2"/>
  <c r="C40" i="2"/>
  <c r="D40" i="2"/>
  <c r="E40" i="2"/>
  <c r="B41" i="2"/>
  <c r="C41" i="2"/>
  <c r="D41" i="2"/>
  <c r="E41" i="2"/>
  <c r="B42" i="2"/>
  <c r="C42" i="2"/>
  <c r="D42" i="2"/>
  <c r="E42" i="2"/>
  <c r="B43" i="2"/>
  <c r="C43" i="2"/>
  <c r="D43" i="2"/>
  <c r="E43" i="2"/>
  <c r="B44" i="2"/>
  <c r="C44" i="2"/>
  <c r="D44" i="2"/>
  <c r="E44" i="2"/>
  <c r="B45" i="2"/>
  <c r="C45" i="2"/>
  <c r="D45" i="2"/>
  <c r="E45" i="2"/>
  <c r="B46" i="2"/>
  <c r="C46" i="2"/>
  <c r="D46" i="2"/>
  <c r="E46" i="2"/>
  <c r="B47" i="2"/>
  <c r="C47" i="2"/>
  <c r="D47" i="2"/>
  <c r="E47" i="2"/>
  <c r="B48" i="2"/>
  <c r="C48" i="2"/>
  <c r="D48" i="2"/>
  <c r="E48" i="2"/>
  <c r="B49" i="2"/>
  <c r="C49" i="2"/>
  <c r="D49" i="2"/>
  <c r="E49" i="2"/>
  <c r="B50" i="2"/>
  <c r="C50" i="2"/>
  <c r="D50" i="2"/>
  <c r="E50" i="2"/>
  <c r="B51" i="2"/>
  <c r="C51" i="2"/>
  <c r="D51" i="2"/>
  <c r="E51" i="2"/>
  <c r="B52" i="2"/>
  <c r="C52" i="2"/>
  <c r="D52" i="2"/>
  <c r="E52" i="2"/>
  <c r="B53" i="2"/>
  <c r="C53" i="2"/>
  <c r="D53" i="2"/>
  <c r="E53" i="2"/>
  <c r="B54" i="2"/>
  <c r="C54" i="2"/>
  <c r="D54" i="2"/>
  <c r="E54" i="2"/>
  <c r="B55" i="2"/>
  <c r="C55" i="2"/>
  <c r="D55" i="2"/>
  <c r="E55" i="2"/>
  <c r="B56" i="2"/>
  <c r="C56" i="2"/>
  <c r="D56" i="2"/>
  <c r="E56" i="2"/>
  <c r="B57" i="2"/>
  <c r="C57" i="2"/>
  <c r="D57" i="2"/>
  <c r="E57" i="2"/>
  <c r="B58" i="2"/>
  <c r="C58" i="2"/>
  <c r="D58" i="2"/>
  <c r="E58" i="2"/>
  <c r="B59" i="2"/>
  <c r="C59" i="2"/>
  <c r="D59" i="2"/>
  <c r="E59" i="2"/>
  <c r="B60" i="2"/>
  <c r="C60" i="2"/>
  <c r="D60" i="2"/>
  <c r="E60" i="2"/>
  <c r="B61" i="2"/>
  <c r="C61" i="2"/>
  <c r="D61" i="2"/>
  <c r="E61" i="2"/>
  <c r="B62" i="2"/>
  <c r="C62" i="2"/>
  <c r="D62" i="2"/>
  <c r="E62" i="2"/>
  <c r="B63" i="2"/>
  <c r="C63" i="2"/>
  <c r="D63" i="2"/>
  <c r="E63" i="2"/>
  <c r="B64" i="2"/>
  <c r="C64" i="2"/>
  <c r="D64" i="2"/>
  <c r="E64" i="2"/>
  <c r="B65" i="2"/>
  <c r="E16" i="1"/>
  <c r="H16" i="1"/>
  <c r="C65" i="2"/>
  <c r="J4" i="2"/>
  <c r="J5" i="2"/>
  <c r="J6" i="2"/>
  <c r="J7" i="2"/>
  <c r="J8" i="2"/>
  <c r="D65" i="2"/>
  <c r="E65" i="2"/>
  <c r="B66" i="2"/>
  <c r="C66" i="2"/>
  <c r="D66" i="2"/>
  <c r="E66" i="2"/>
  <c r="B67" i="2"/>
  <c r="C67" i="2"/>
  <c r="D67" i="2"/>
  <c r="E67" i="2"/>
  <c r="B68" i="2"/>
  <c r="C68" i="2"/>
  <c r="D68" i="2"/>
  <c r="E68" i="2"/>
  <c r="B69" i="2"/>
  <c r="C69" i="2"/>
  <c r="D69" i="2"/>
  <c r="E69" i="2"/>
  <c r="B70" i="2"/>
  <c r="C70" i="2"/>
  <c r="D70" i="2"/>
  <c r="E70" i="2"/>
  <c r="B71" i="2"/>
  <c r="C71" i="2"/>
  <c r="D71" i="2"/>
  <c r="E71" i="2"/>
  <c r="B72" i="2"/>
  <c r="C72" i="2"/>
  <c r="D72" i="2"/>
  <c r="E72" i="2"/>
  <c r="B73" i="2"/>
  <c r="C73" i="2"/>
  <c r="D73" i="2"/>
  <c r="E73" i="2"/>
  <c r="B74" i="2"/>
  <c r="C74" i="2"/>
  <c r="D74" i="2"/>
  <c r="E74" i="2"/>
  <c r="B75" i="2"/>
  <c r="C75" i="2"/>
  <c r="D75" i="2"/>
  <c r="E75" i="2"/>
  <c r="B76" i="2"/>
  <c r="C76" i="2"/>
  <c r="D76" i="2"/>
  <c r="E76" i="2"/>
  <c r="B77" i="2"/>
  <c r="C77" i="2"/>
  <c r="D77" i="2"/>
  <c r="E77" i="2"/>
  <c r="B78" i="2"/>
  <c r="C78" i="2"/>
  <c r="D78" i="2"/>
  <c r="E78" i="2"/>
  <c r="B79" i="2"/>
  <c r="C79" i="2"/>
  <c r="D79" i="2"/>
  <c r="E79" i="2"/>
  <c r="B80" i="2"/>
  <c r="C80" i="2"/>
  <c r="D80" i="2"/>
  <c r="E80" i="2"/>
  <c r="B81" i="2"/>
  <c r="C81" i="2"/>
  <c r="D81" i="2"/>
  <c r="E81" i="2"/>
  <c r="B82" i="2"/>
  <c r="C82" i="2"/>
  <c r="D82" i="2"/>
  <c r="E82" i="2"/>
  <c r="B83" i="2"/>
  <c r="C83" i="2"/>
  <c r="D83" i="2"/>
  <c r="E83" i="2"/>
  <c r="B84" i="2"/>
  <c r="C84" i="2"/>
  <c r="D84" i="2"/>
  <c r="E84" i="2"/>
  <c r="B85" i="2"/>
  <c r="C85" i="2"/>
  <c r="D85" i="2"/>
  <c r="E85" i="2"/>
  <c r="B86" i="2"/>
  <c r="C86" i="2"/>
  <c r="D86" i="2"/>
  <c r="E86" i="2"/>
  <c r="B87" i="2"/>
  <c r="C87" i="2"/>
  <c r="D87" i="2"/>
  <c r="E87" i="2"/>
  <c r="B88" i="2"/>
  <c r="C88" i="2"/>
  <c r="D88" i="2"/>
  <c r="E88" i="2"/>
  <c r="B89" i="2"/>
  <c r="C89" i="2"/>
  <c r="D89" i="2"/>
  <c r="E89" i="2"/>
  <c r="B90" i="2"/>
  <c r="C90" i="2"/>
  <c r="D90" i="2"/>
  <c r="E90" i="2"/>
  <c r="B91" i="2"/>
  <c r="C91" i="2"/>
  <c r="D91" i="2"/>
  <c r="E91" i="2"/>
  <c r="B92" i="2"/>
  <c r="C92" i="2"/>
  <c r="D92" i="2"/>
  <c r="E92" i="2"/>
  <c r="B93" i="2"/>
  <c r="C93" i="2"/>
  <c r="D93" i="2"/>
  <c r="E93" i="2"/>
  <c r="B94" i="2"/>
  <c r="C94" i="2"/>
  <c r="D94" i="2"/>
  <c r="E94" i="2"/>
  <c r="B95" i="2"/>
  <c r="C95" i="2"/>
  <c r="D95" i="2"/>
  <c r="E95" i="2"/>
  <c r="B96" i="2"/>
  <c r="C96" i="2"/>
  <c r="D96" i="2"/>
  <c r="E96" i="2"/>
  <c r="B97" i="2"/>
  <c r="C97" i="2"/>
  <c r="D97" i="2"/>
  <c r="E97" i="2"/>
  <c r="B98" i="2"/>
  <c r="C98" i="2"/>
  <c r="D98" i="2"/>
  <c r="E98" i="2"/>
  <c r="B99" i="2"/>
  <c r="C99" i="2"/>
  <c r="D99" i="2"/>
  <c r="E99" i="2"/>
  <c r="B100" i="2"/>
  <c r="C100" i="2"/>
  <c r="D100" i="2"/>
  <c r="E100" i="2"/>
  <c r="B101" i="2"/>
  <c r="C101" i="2"/>
  <c r="D101" i="2"/>
  <c r="E101" i="2"/>
  <c r="B102" i="2"/>
  <c r="C102" i="2"/>
  <c r="D102" i="2"/>
  <c r="E102" i="2"/>
  <c r="B103" i="2"/>
  <c r="C103" i="2"/>
  <c r="D103" i="2"/>
  <c r="E103" i="2"/>
  <c r="B104" i="2"/>
  <c r="C104" i="2"/>
  <c r="D104" i="2"/>
  <c r="E104" i="2"/>
  <c r="B105" i="2"/>
  <c r="C105" i="2"/>
  <c r="D105" i="2"/>
  <c r="E105" i="2"/>
  <c r="B106" i="2"/>
  <c r="C106" i="2"/>
  <c r="D106" i="2"/>
  <c r="E106" i="2"/>
  <c r="B107" i="2"/>
  <c r="C107" i="2"/>
  <c r="D107" i="2"/>
  <c r="E107" i="2"/>
  <c r="B108" i="2"/>
  <c r="C108" i="2"/>
  <c r="D108" i="2"/>
  <c r="E108" i="2"/>
  <c r="B109" i="2"/>
  <c r="C109" i="2"/>
  <c r="D109" i="2"/>
  <c r="E109" i="2"/>
  <c r="B110" i="2"/>
  <c r="C110" i="2"/>
  <c r="D110" i="2"/>
  <c r="E110" i="2"/>
  <c r="B111" i="2"/>
  <c r="C111" i="2"/>
  <c r="D111" i="2"/>
  <c r="E111" i="2"/>
  <c r="B112" i="2"/>
  <c r="C112" i="2"/>
  <c r="D112" i="2"/>
  <c r="E112" i="2"/>
  <c r="B113" i="2"/>
  <c r="C113" i="2"/>
  <c r="D113" i="2"/>
  <c r="E113" i="2"/>
  <c r="B114" i="2"/>
  <c r="C114" i="2"/>
  <c r="D114" i="2"/>
  <c r="E114" i="2"/>
  <c r="B115" i="2"/>
  <c r="C115" i="2"/>
  <c r="D115" i="2"/>
  <c r="E115" i="2"/>
  <c r="B116" i="2"/>
  <c r="C116" i="2"/>
  <c r="D116" i="2"/>
  <c r="E116" i="2"/>
  <c r="B117" i="2"/>
  <c r="C117" i="2"/>
  <c r="D117" i="2"/>
  <c r="E117" i="2"/>
  <c r="B118" i="2"/>
  <c r="C118" i="2"/>
  <c r="D118" i="2"/>
  <c r="E118" i="2"/>
  <c r="B119" i="2"/>
  <c r="C119" i="2"/>
  <c r="D119" i="2"/>
  <c r="E119" i="2"/>
  <c r="B120" i="2"/>
  <c r="C120" i="2"/>
  <c r="D120" i="2"/>
  <c r="E120" i="2"/>
  <c r="B121" i="2"/>
  <c r="C121" i="2"/>
  <c r="D121" i="2"/>
  <c r="E121" i="2"/>
  <c r="B122" i="2"/>
  <c r="C122" i="2"/>
  <c r="D122" i="2"/>
  <c r="E122" i="2"/>
  <c r="B123" i="2"/>
  <c r="C123" i="2"/>
  <c r="D123" i="2"/>
  <c r="E123" i="2"/>
  <c r="B124" i="2"/>
  <c r="C124" i="2"/>
  <c r="D124" i="2"/>
  <c r="E124" i="2"/>
  <c r="B125" i="2"/>
  <c r="C125" i="2"/>
  <c r="D125" i="2"/>
  <c r="E125" i="2"/>
  <c r="B126" i="2"/>
  <c r="C126" i="2"/>
  <c r="D126" i="2"/>
  <c r="E126" i="2"/>
  <c r="B127" i="2"/>
  <c r="C127" i="2"/>
  <c r="D127" i="2"/>
  <c r="E127" i="2"/>
  <c r="B128" i="2"/>
  <c r="C128" i="2"/>
  <c r="D128" i="2"/>
  <c r="E128" i="2"/>
  <c r="B129" i="2"/>
  <c r="C129" i="2"/>
  <c r="D129" i="2"/>
  <c r="E129" i="2"/>
  <c r="B130" i="2"/>
  <c r="C130" i="2"/>
  <c r="D130" i="2"/>
  <c r="E130" i="2"/>
  <c r="B131" i="2"/>
  <c r="C131" i="2"/>
  <c r="D131" i="2"/>
  <c r="E131" i="2"/>
  <c r="B132" i="2"/>
  <c r="C132" i="2"/>
  <c r="D132" i="2"/>
  <c r="E132" i="2"/>
  <c r="B133" i="2"/>
  <c r="C133" i="2"/>
  <c r="D133" i="2"/>
  <c r="E133" i="2"/>
  <c r="B134" i="2"/>
  <c r="C134" i="2"/>
  <c r="D134" i="2"/>
  <c r="E134" i="2"/>
  <c r="B135" i="2"/>
  <c r="C135" i="2"/>
  <c r="D135" i="2"/>
  <c r="E135" i="2"/>
  <c r="B136" i="2"/>
  <c r="C136" i="2"/>
  <c r="D136" i="2"/>
  <c r="E136" i="2"/>
  <c r="B137" i="2"/>
  <c r="C137" i="2"/>
  <c r="D137" i="2"/>
  <c r="E137" i="2"/>
  <c r="B138" i="2"/>
  <c r="C138" i="2"/>
  <c r="D138" i="2"/>
  <c r="E138" i="2"/>
  <c r="B139" i="2"/>
  <c r="C139" i="2"/>
  <c r="D139" i="2"/>
  <c r="E139" i="2"/>
  <c r="B140" i="2"/>
  <c r="C140" i="2"/>
  <c r="D140" i="2"/>
  <c r="E140" i="2"/>
  <c r="B141" i="2"/>
  <c r="C141" i="2"/>
  <c r="D141" i="2"/>
  <c r="E141" i="2"/>
  <c r="B142" i="2"/>
  <c r="C142" i="2"/>
  <c r="D142" i="2"/>
  <c r="E142" i="2"/>
  <c r="B143" i="2"/>
  <c r="C143" i="2"/>
  <c r="D143" i="2"/>
  <c r="E143" i="2"/>
  <c r="B144" i="2"/>
  <c r="C144" i="2"/>
  <c r="D144" i="2"/>
  <c r="E144" i="2"/>
  <c r="B145" i="2"/>
  <c r="C145" i="2"/>
  <c r="D145" i="2"/>
  <c r="E145" i="2"/>
  <c r="B146" i="2"/>
  <c r="C146" i="2"/>
  <c r="D146" i="2"/>
  <c r="E146" i="2"/>
  <c r="B147" i="2"/>
  <c r="C147" i="2"/>
  <c r="D147" i="2"/>
  <c r="E147" i="2"/>
  <c r="B148" i="2"/>
  <c r="C148" i="2"/>
  <c r="D148" i="2"/>
  <c r="E148" i="2"/>
  <c r="B149" i="2"/>
  <c r="C149" i="2"/>
  <c r="D149" i="2"/>
  <c r="E149" i="2"/>
  <c r="B150" i="2"/>
  <c r="C150" i="2"/>
  <c r="D150" i="2"/>
  <c r="E150" i="2"/>
  <c r="B151" i="2"/>
  <c r="C151" i="2"/>
  <c r="D151" i="2"/>
  <c r="E151" i="2"/>
  <c r="B152" i="2"/>
  <c r="C152" i="2"/>
  <c r="D152" i="2"/>
  <c r="E152" i="2"/>
  <c r="B153" i="2"/>
  <c r="C153" i="2"/>
  <c r="D153" i="2"/>
  <c r="E153" i="2"/>
  <c r="B154" i="2"/>
  <c r="C154" i="2"/>
  <c r="D154" i="2"/>
  <c r="E154" i="2"/>
  <c r="B155" i="2"/>
  <c r="C155" i="2"/>
  <c r="D155" i="2"/>
  <c r="E155" i="2"/>
  <c r="B156" i="2"/>
  <c r="C156" i="2"/>
  <c r="D156" i="2"/>
  <c r="E156" i="2"/>
  <c r="B157" i="2"/>
  <c r="C157" i="2"/>
  <c r="D157" i="2"/>
  <c r="E157" i="2"/>
  <c r="B158" i="2"/>
  <c r="C158" i="2"/>
  <c r="D158" i="2"/>
  <c r="E158" i="2"/>
  <c r="B159" i="2"/>
  <c r="C159" i="2"/>
  <c r="D159" i="2"/>
  <c r="E159" i="2"/>
  <c r="B160" i="2"/>
  <c r="C160" i="2"/>
  <c r="D160" i="2"/>
  <c r="E160" i="2"/>
  <c r="B161" i="2"/>
  <c r="C161" i="2"/>
  <c r="D161" i="2"/>
  <c r="E161" i="2"/>
  <c r="B162" i="2"/>
  <c r="C162" i="2"/>
  <c r="D162" i="2"/>
  <c r="E162" i="2"/>
  <c r="B163" i="2"/>
  <c r="C163" i="2"/>
  <c r="D163" i="2"/>
  <c r="E163" i="2"/>
  <c r="B164" i="2"/>
  <c r="C164" i="2"/>
  <c r="D164" i="2"/>
  <c r="E164" i="2"/>
  <c r="B165" i="2"/>
  <c r="C165" i="2"/>
  <c r="D165" i="2"/>
  <c r="E165" i="2"/>
  <c r="B166" i="2"/>
  <c r="C166" i="2"/>
  <c r="D166" i="2"/>
  <c r="E166" i="2"/>
  <c r="B167" i="2"/>
  <c r="C167" i="2"/>
  <c r="D167" i="2"/>
  <c r="E167" i="2"/>
  <c r="B168" i="2"/>
  <c r="C168" i="2"/>
  <c r="D168" i="2"/>
  <c r="E168" i="2"/>
  <c r="B169" i="2"/>
  <c r="C169" i="2"/>
  <c r="D169" i="2"/>
  <c r="E169" i="2"/>
  <c r="B170" i="2"/>
  <c r="C170" i="2"/>
  <c r="D170" i="2"/>
  <c r="E170" i="2"/>
  <c r="B171" i="2"/>
  <c r="C171" i="2"/>
  <c r="D171" i="2"/>
  <c r="E171" i="2"/>
  <c r="B172" i="2"/>
  <c r="C172" i="2"/>
  <c r="D172" i="2"/>
  <c r="E172" i="2"/>
  <c r="B173" i="2"/>
  <c r="C173" i="2"/>
  <c r="D173" i="2"/>
  <c r="E173" i="2"/>
  <c r="B174" i="2"/>
  <c r="C174" i="2"/>
  <c r="D174" i="2"/>
  <c r="E174" i="2"/>
  <c r="B175" i="2"/>
  <c r="C175" i="2"/>
  <c r="D175" i="2"/>
  <c r="E175" i="2"/>
  <c r="B176" i="2"/>
  <c r="C176" i="2"/>
  <c r="D176" i="2"/>
  <c r="E176" i="2"/>
  <c r="B177" i="2"/>
  <c r="C177" i="2"/>
  <c r="D177" i="2"/>
  <c r="E177" i="2"/>
  <c r="B178" i="2"/>
  <c r="C178" i="2"/>
  <c r="D178" i="2"/>
  <c r="E178" i="2"/>
  <c r="B179" i="2"/>
  <c r="C179" i="2"/>
  <c r="D179" i="2"/>
  <c r="E179" i="2"/>
  <c r="B180" i="2"/>
  <c r="C180" i="2"/>
  <c r="D180" i="2"/>
  <c r="E180" i="2"/>
  <c r="B181" i="2"/>
  <c r="C181" i="2"/>
  <c r="D181" i="2"/>
  <c r="E181" i="2"/>
  <c r="B182" i="2"/>
  <c r="C182" i="2"/>
  <c r="D182" i="2"/>
  <c r="E182" i="2"/>
  <c r="B183" i="2"/>
  <c r="C183" i="2"/>
  <c r="D183" i="2"/>
  <c r="E183" i="2"/>
  <c r="B184" i="2"/>
  <c r="C184" i="2"/>
  <c r="D184" i="2"/>
  <c r="E184" i="2"/>
  <c r="B185" i="2"/>
  <c r="C185" i="2"/>
  <c r="D185" i="2"/>
  <c r="E185" i="2"/>
  <c r="B186" i="2"/>
  <c r="C186" i="2"/>
  <c r="D186" i="2"/>
  <c r="E186" i="2"/>
  <c r="B187" i="2"/>
  <c r="C187" i="2"/>
  <c r="D187" i="2"/>
  <c r="E187" i="2"/>
  <c r="B188" i="2"/>
  <c r="C188" i="2"/>
  <c r="D188" i="2"/>
  <c r="E188" i="2"/>
  <c r="B189" i="2"/>
  <c r="C189" i="2"/>
  <c r="D189" i="2"/>
  <c r="E189" i="2"/>
  <c r="B190" i="2"/>
  <c r="C190" i="2"/>
  <c r="D190" i="2"/>
  <c r="E190" i="2"/>
  <c r="B191" i="2"/>
  <c r="C191" i="2"/>
  <c r="D191" i="2"/>
  <c r="E191" i="2"/>
  <c r="B192" i="2"/>
  <c r="C192" i="2"/>
  <c r="D192" i="2"/>
  <c r="E192" i="2"/>
  <c r="B193" i="2"/>
  <c r="C193" i="2"/>
  <c r="D193" i="2"/>
  <c r="E193" i="2"/>
  <c r="B194" i="2"/>
  <c r="C194" i="2"/>
  <c r="D194" i="2"/>
  <c r="E194" i="2"/>
  <c r="B195" i="2"/>
  <c r="C195" i="2"/>
  <c r="D195" i="2"/>
  <c r="E195" i="2"/>
  <c r="B196" i="2"/>
  <c r="C196" i="2"/>
  <c r="D196" i="2"/>
  <c r="E196" i="2"/>
  <c r="B197" i="2"/>
  <c r="C197" i="2"/>
  <c r="D197" i="2"/>
  <c r="E197" i="2"/>
  <c r="B198" i="2"/>
  <c r="C198" i="2"/>
  <c r="D198" i="2"/>
  <c r="E198" i="2"/>
  <c r="B199" i="2"/>
  <c r="C199" i="2"/>
  <c r="D199" i="2"/>
  <c r="E199" i="2"/>
  <c r="B200" i="2"/>
  <c r="C200" i="2"/>
  <c r="D200" i="2"/>
  <c r="E200" i="2"/>
  <c r="B201" i="2"/>
  <c r="C201" i="2"/>
  <c r="D201" i="2"/>
  <c r="E201" i="2"/>
  <c r="B202" i="2"/>
  <c r="C202" i="2"/>
  <c r="D202" i="2"/>
  <c r="E202" i="2"/>
  <c r="B203" i="2"/>
  <c r="C203" i="2"/>
  <c r="D203" i="2"/>
  <c r="E203" i="2"/>
  <c r="B204" i="2"/>
  <c r="C204" i="2"/>
  <c r="D204" i="2"/>
  <c r="E204" i="2"/>
  <c r="B205" i="2"/>
  <c r="C205" i="2"/>
  <c r="D205" i="2"/>
  <c r="E205" i="2"/>
  <c r="B206" i="2"/>
  <c r="C206" i="2"/>
  <c r="D206" i="2"/>
  <c r="E206" i="2"/>
  <c r="B207" i="2"/>
  <c r="C207" i="2"/>
  <c r="D207" i="2"/>
  <c r="E207" i="2"/>
  <c r="B208" i="2"/>
  <c r="C208" i="2"/>
  <c r="D208" i="2"/>
  <c r="E208" i="2"/>
  <c r="B209" i="2"/>
  <c r="C209" i="2"/>
  <c r="D209" i="2"/>
  <c r="E209" i="2"/>
  <c r="B210" i="2"/>
  <c r="C210" i="2"/>
  <c r="D210" i="2"/>
  <c r="E210" i="2"/>
  <c r="B211" i="2"/>
  <c r="C211" i="2"/>
  <c r="D211" i="2"/>
  <c r="E211" i="2"/>
  <c r="B212" i="2"/>
  <c r="C212" i="2"/>
  <c r="D212" i="2"/>
  <c r="E212" i="2"/>
  <c r="B213" i="2"/>
  <c r="C213" i="2"/>
  <c r="D213" i="2"/>
  <c r="E213" i="2"/>
  <c r="B214" i="2"/>
  <c r="C214" i="2"/>
  <c r="D214" i="2"/>
  <c r="E214" i="2"/>
  <c r="B215" i="2"/>
  <c r="C215" i="2"/>
  <c r="D215" i="2"/>
  <c r="E215" i="2"/>
  <c r="B216" i="2"/>
  <c r="C216" i="2"/>
  <c r="D216" i="2"/>
  <c r="E216" i="2"/>
  <c r="B217" i="2"/>
  <c r="C217" i="2"/>
  <c r="D217" i="2"/>
  <c r="E217" i="2"/>
  <c r="B218" i="2"/>
  <c r="C218" i="2"/>
  <c r="D218" i="2"/>
  <c r="E218" i="2"/>
  <c r="B219" i="2"/>
  <c r="C219" i="2"/>
  <c r="D219" i="2"/>
  <c r="E219" i="2"/>
  <c r="B220" i="2"/>
  <c r="C220" i="2"/>
  <c r="D220" i="2"/>
  <c r="E220" i="2"/>
  <c r="B221" i="2"/>
  <c r="C221" i="2"/>
  <c r="D221" i="2"/>
  <c r="E221" i="2"/>
  <c r="B222" i="2"/>
  <c r="C222" i="2"/>
  <c r="D222" i="2"/>
  <c r="E222" i="2"/>
  <c r="B223" i="2"/>
  <c r="C223" i="2"/>
  <c r="D223" i="2"/>
  <c r="E223" i="2"/>
  <c r="B224" i="2"/>
  <c r="C224" i="2"/>
  <c r="D224" i="2"/>
  <c r="E224" i="2"/>
  <c r="B225" i="2"/>
  <c r="C225" i="2"/>
  <c r="D225" i="2"/>
  <c r="E225" i="2"/>
  <c r="B226" i="2"/>
  <c r="C226" i="2"/>
  <c r="D226" i="2"/>
  <c r="E226" i="2"/>
  <c r="B227" i="2"/>
  <c r="C227" i="2"/>
  <c r="D227" i="2"/>
  <c r="E227" i="2"/>
  <c r="B228" i="2"/>
  <c r="C228" i="2"/>
  <c r="D228" i="2"/>
  <c r="E228" i="2"/>
  <c r="B229" i="2"/>
  <c r="C229" i="2"/>
  <c r="D229" i="2"/>
  <c r="E229" i="2"/>
  <c r="B230" i="2"/>
  <c r="C230" i="2"/>
  <c r="D230" i="2"/>
  <c r="E230" i="2"/>
  <c r="B231" i="2"/>
  <c r="C231" i="2"/>
  <c r="D231" i="2"/>
  <c r="E231" i="2"/>
  <c r="B232" i="2"/>
  <c r="C232" i="2"/>
  <c r="D232" i="2"/>
  <c r="E232" i="2"/>
  <c r="B233" i="2"/>
  <c r="C233" i="2"/>
  <c r="D233" i="2"/>
  <c r="E233" i="2"/>
  <c r="B234" i="2"/>
  <c r="C234" i="2"/>
  <c r="D234" i="2"/>
  <c r="E234" i="2"/>
  <c r="B235" i="2"/>
  <c r="C235" i="2"/>
  <c r="D235" i="2"/>
  <c r="E235" i="2"/>
  <c r="B236" i="2"/>
  <c r="C236" i="2"/>
  <c r="D236" i="2"/>
  <c r="E236" i="2"/>
  <c r="B237" i="2"/>
  <c r="C237" i="2"/>
  <c r="D237" i="2"/>
  <c r="E237" i="2"/>
  <c r="B238" i="2"/>
  <c r="C238" i="2"/>
  <c r="D238" i="2"/>
  <c r="E238" i="2"/>
  <c r="B239" i="2"/>
  <c r="C239" i="2"/>
  <c r="D239" i="2"/>
  <c r="E239" i="2"/>
  <c r="B240" i="2"/>
  <c r="C240" i="2"/>
  <c r="D240" i="2"/>
  <c r="E240" i="2"/>
  <c r="B241" i="2"/>
  <c r="C241" i="2"/>
  <c r="D241" i="2"/>
  <c r="E241" i="2"/>
  <c r="B242" i="2"/>
  <c r="C242" i="2"/>
  <c r="D242" i="2"/>
  <c r="E242" i="2"/>
  <c r="B243" i="2"/>
  <c r="C243" i="2"/>
  <c r="D243" i="2"/>
  <c r="E243" i="2"/>
  <c r="B244" i="2"/>
  <c r="C244" i="2"/>
  <c r="D244" i="2"/>
  <c r="E244" i="2"/>
  <c r="B245" i="2"/>
  <c r="C245" i="2"/>
  <c r="D245" i="2"/>
  <c r="E245" i="2"/>
  <c r="B246" i="2"/>
  <c r="C246" i="2"/>
  <c r="D246" i="2"/>
  <c r="E246" i="2"/>
  <c r="B247" i="2"/>
  <c r="C247" i="2"/>
  <c r="D247" i="2"/>
  <c r="E247" i="2"/>
  <c r="B248" i="2"/>
  <c r="C248" i="2"/>
  <c r="D248" i="2"/>
  <c r="E248" i="2"/>
  <c r="B249" i="2"/>
  <c r="C249" i="2"/>
  <c r="D249" i="2"/>
  <c r="E249" i="2"/>
  <c r="B250" i="2"/>
  <c r="C250" i="2"/>
  <c r="D250" i="2"/>
  <c r="E250" i="2"/>
  <c r="B251" i="2"/>
  <c r="C251" i="2"/>
  <c r="D251" i="2"/>
  <c r="E251" i="2"/>
  <c r="B252" i="2"/>
  <c r="C252" i="2"/>
  <c r="D252" i="2"/>
  <c r="E252" i="2"/>
  <c r="B253" i="2"/>
  <c r="C253" i="2"/>
  <c r="D253" i="2"/>
  <c r="E253" i="2"/>
  <c r="B254" i="2"/>
  <c r="C254" i="2"/>
  <c r="D254" i="2"/>
  <c r="E254" i="2"/>
  <c r="B255" i="2"/>
  <c r="C255" i="2"/>
  <c r="D255" i="2"/>
  <c r="E255" i="2"/>
  <c r="B256" i="2"/>
  <c r="C256" i="2"/>
  <c r="D256" i="2"/>
  <c r="E256" i="2"/>
  <c r="B257" i="2"/>
  <c r="C257" i="2"/>
  <c r="D257" i="2"/>
  <c r="E257" i="2"/>
  <c r="B258" i="2"/>
  <c r="C258" i="2"/>
  <c r="D258" i="2"/>
  <c r="E258" i="2"/>
  <c r="B259" i="2"/>
  <c r="C259" i="2"/>
  <c r="D259" i="2"/>
  <c r="E259" i="2"/>
  <c r="B260" i="2"/>
  <c r="C260" i="2"/>
  <c r="D260" i="2"/>
  <c r="E260" i="2"/>
  <c r="B261" i="2"/>
  <c r="C261" i="2"/>
  <c r="D261" i="2"/>
  <c r="E261" i="2"/>
  <c r="B262" i="2"/>
  <c r="C262" i="2"/>
  <c r="D262" i="2"/>
  <c r="E262" i="2"/>
  <c r="B263" i="2"/>
  <c r="C263" i="2"/>
  <c r="D263" i="2"/>
  <c r="E263" i="2"/>
  <c r="B264" i="2"/>
  <c r="C264" i="2"/>
  <c r="D264" i="2"/>
  <c r="E264" i="2"/>
  <c r="B265" i="2"/>
  <c r="C265" i="2"/>
  <c r="D265" i="2"/>
  <c r="E265" i="2"/>
  <c r="B266" i="2"/>
  <c r="C266" i="2"/>
  <c r="D266" i="2"/>
  <c r="E266" i="2"/>
  <c r="B267" i="2"/>
  <c r="C267" i="2"/>
  <c r="D267" i="2"/>
  <c r="E267" i="2"/>
  <c r="B268" i="2"/>
  <c r="C268" i="2"/>
  <c r="D268" i="2"/>
  <c r="E268" i="2"/>
  <c r="B269" i="2"/>
  <c r="C269" i="2"/>
  <c r="D269" i="2"/>
  <c r="E269" i="2"/>
  <c r="B270" i="2"/>
  <c r="C270" i="2"/>
  <c r="D270" i="2"/>
  <c r="E270" i="2"/>
  <c r="B271" i="2"/>
  <c r="C271" i="2"/>
  <c r="D271" i="2"/>
  <c r="E271" i="2"/>
  <c r="B272" i="2"/>
  <c r="C272" i="2"/>
  <c r="D272" i="2"/>
  <c r="E272" i="2"/>
  <c r="B273" i="2"/>
  <c r="C273" i="2"/>
  <c r="D273" i="2"/>
  <c r="E273" i="2"/>
  <c r="B274" i="2"/>
  <c r="C274" i="2"/>
  <c r="D274" i="2"/>
  <c r="E274" i="2"/>
  <c r="B275" i="2"/>
  <c r="C275" i="2"/>
  <c r="D275" i="2"/>
  <c r="E275" i="2"/>
  <c r="B276" i="2"/>
  <c r="C276" i="2"/>
  <c r="D276" i="2"/>
  <c r="E276" i="2"/>
  <c r="B277" i="2"/>
  <c r="C277" i="2"/>
  <c r="D277" i="2"/>
  <c r="E277" i="2"/>
  <c r="B278" i="2"/>
  <c r="C278" i="2"/>
  <c r="D278" i="2"/>
  <c r="E278" i="2"/>
  <c r="B279" i="2"/>
  <c r="C279" i="2"/>
  <c r="D279" i="2"/>
  <c r="E279" i="2"/>
  <c r="B280" i="2"/>
  <c r="C280" i="2"/>
  <c r="D280" i="2"/>
  <c r="E280" i="2"/>
  <c r="B281" i="2"/>
  <c r="C281" i="2"/>
  <c r="D281" i="2"/>
  <c r="E281" i="2"/>
  <c r="B282" i="2"/>
  <c r="C282" i="2"/>
  <c r="D282" i="2"/>
  <c r="E282" i="2"/>
  <c r="B283" i="2"/>
  <c r="C283" i="2"/>
  <c r="D283" i="2"/>
  <c r="E283" i="2"/>
  <c r="B284" i="2"/>
  <c r="C284" i="2"/>
  <c r="D284" i="2"/>
  <c r="E284" i="2"/>
  <c r="B285" i="2"/>
  <c r="C285" i="2"/>
  <c r="D285" i="2"/>
  <c r="E285" i="2"/>
  <c r="B286" i="2"/>
  <c r="C286" i="2"/>
  <c r="D286" i="2"/>
  <c r="E286" i="2"/>
  <c r="B287" i="2"/>
  <c r="C287" i="2"/>
  <c r="D287" i="2"/>
  <c r="E287" i="2"/>
  <c r="B288" i="2"/>
  <c r="C288" i="2"/>
  <c r="D288" i="2"/>
  <c r="E288" i="2"/>
  <c r="B289" i="2"/>
  <c r="C289" i="2"/>
  <c r="D289" i="2"/>
  <c r="E289" i="2"/>
  <c r="B290" i="2"/>
  <c r="C290" i="2"/>
  <c r="D290" i="2"/>
  <c r="E290" i="2"/>
  <c r="B291" i="2"/>
  <c r="C291" i="2"/>
  <c r="D291" i="2"/>
  <c r="E291" i="2"/>
  <c r="B292" i="2"/>
  <c r="C292" i="2"/>
  <c r="D292" i="2"/>
  <c r="E292" i="2"/>
  <c r="B293" i="2"/>
  <c r="C293" i="2"/>
  <c r="D293" i="2"/>
  <c r="E293" i="2"/>
  <c r="B294" i="2"/>
  <c r="C294" i="2"/>
  <c r="D294" i="2"/>
  <c r="E294" i="2"/>
  <c r="B295" i="2"/>
  <c r="C295" i="2"/>
  <c r="D295" i="2"/>
  <c r="E295" i="2"/>
  <c r="B296" i="2"/>
  <c r="C296" i="2"/>
  <c r="D296" i="2"/>
  <c r="E296" i="2"/>
  <c r="B297" i="2"/>
  <c r="C297" i="2"/>
  <c r="D297" i="2"/>
  <c r="E297" i="2"/>
  <c r="B298" i="2"/>
  <c r="C298" i="2"/>
  <c r="D298" i="2"/>
  <c r="E298" i="2"/>
  <c r="B299" i="2"/>
  <c r="C299" i="2"/>
  <c r="D299" i="2"/>
  <c r="E299" i="2"/>
  <c r="B300" i="2"/>
  <c r="C300" i="2"/>
  <c r="D300" i="2"/>
  <c r="E300" i="2"/>
  <c r="B301" i="2"/>
  <c r="C301" i="2"/>
  <c r="D301" i="2"/>
  <c r="E301" i="2"/>
  <c r="B302" i="2"/>
  <c r="C302" i="2"/>
  <c r="D302" i="2"/>
  <c r="E302" i="2"/>
  <c r="B303" i="2"/>
  <c r="C303" i="2"/>
  <c r="D303" i="2"/>
  <c r="E303" i="2"/>
  <c r="B304" i="2"/>
  <c r="C304" i="2"/>
  <c r="D304" i="2"/>
  <c r="E304" i="2"/>
  <c r="AB55" i="1"/>
  <c r="AA55" i="1"/>
  <c r="Z55" i="1"/>
  <c r="Y55" i="1"/>
  <c r="X55" i="1"/>
  <c r="W55" i="1"/>
  <c r="V55" i="1"/>
  <c r="U55" i="1"/>
  <c r="T55" i="1"/>
  <c r="S55" i="1"/>
  <c r="R55" i="1"/>
  <c r="Q55" i="1"/>
  <c r="P55" i="1"/>
  <c r="O55" i="1"/>
  <c r="N55" i="1"/>
  <c r="M55" i="1"/>
  <c r="L55" i="1"/>
  <c r="K55" i="1"/>
  <c r="J55" i="1"/>
  <c r="I55" i="1"/>
  <c r="H55" i="1"/>
  <c r="F52" i="2"/>
  <c r="D55" i="1"/>
  <c r="C55" i="1"/>
  <c r="C11" i="1"/>
  <c r="C22" i="1"/>
  <c r="F7" i="4"/>
  <c r="C15" i="4"/>
  <c r="C12" i="4"/>
  <c r="C11" i="4"/>
  <c r="C10" i="4"/>
  <c r="D37" i="1"/>
  <c r="H16" i="2"/>
  <c r="D40" i="1"/>
  <c r="D38" i="1"/>
  <c r="D41" i="1"/>
  <c r="D31" i="1"/>
  <c r="D35" i="1"/>
  <c r="D58" i="1"/>
  <c r="C25" i="1"/>
  <c r="D60" i="1"/>
  <c r="D62" i="1"/>
  <c r="D45" i="1"/>
  <c r="F5" i="2"/>
  <c r="F6" i="2"/>
  <c r="F7" i="2"/>
  <c r="F8" i="2"/>
  <c r="F9" i="2"/>
  <c r="F10" i="2"/>
  <c r="F11" i="2"/>
  <c r="F12" i="2"/>
  <c r="F13" i="2"/>
  <c r="F14" i="2"/>
  <c r="F15" i="2"/>
  <c r="F16" i="2"/>
  <c r="I16" i="2"/>
  <c r="D46" i="1"/>
  <c r="D47" i="1"/>
  <c r="D49" i="1"/>
  <c r="E37" i="1"/>
  <c r="H28" i="2"/>
  <c r="E40" i="1"/>
  <c r="E38" i="1"/>
  <c r="E41" i="1"/>
  <c r="D61" i="1"/>
  <c r="E31" i="1"/>
  <c r="E35" i="1"/>
  <c r="E58" i="1"/>
  <c r="E60" i="1"/>
  <c r="E62" i="1"/>
  <c r="E45" i="1"/>
  <c r="F17" i="2"/>
  <c r="F18" i="2"/>
  <c r="F19" i="2"/>
  <c r="F20" i="2"/>
  <c r="F21" i="2"/>
  <c r="F22" i="2"/>
  <c r="F23" i="2"/>
  <c r="F24" i="2"/>
  <c r="F25" i="2"/>
  <c r="F26" i="2"/>
  <c r="F27" i="2"/>
  <c r="F28" i="2"/>
  <c r="I28" i="2"/>
  <c r="E46" i="1"/>
  <c r="E47" i="1"/>
  <c r="E49" i="1"/>
  <c r="F37" i="1"/>
  <c r="H40" i="2"/>
  <c r="F40" i="1"/>
  <c r="F38" i="1"/>
  <c r="F41" i="1"/>
  <c r="E61" i="1"/>
  <c r="F31" i="1"/>
  <c r="F35" i="1"/>
  <c r="F58" i="1"/>
  <c r="F60" i="1"/>
  <c r="F62" i="1"/>
  <c r="F45" i="1"/>
  <c r="F29" i="2"/>
  <c r="F30" i="2"/>
  <c r="F31" i="2"/>
  <c r="F32" i="2"/>
  <c r="F33" i="2"/>
  <c r="F34" i="2"/>
  <c r="F35" i="2"/>
  <c r="F36" i="2"/>
  <c r="F37" i="2"/>
  <c r="F38" i="2"/>
  <c r="F39" i="2"/>
  <c r="F40" i="2"/>
  <c r="I40" i="2"/>
  <c r="F46" i="1"/>
  <c r="F47" i="1"/>
  <c r="F49" i="1"/>
  <c r="G37" i="1"/>
  <c r="H52" i="2"/>
  <c r="G40" i="1"/>
  <c r="G38" i="1"/>
  <c r="G41" i="1"/>
  <c r="F61" i="1"/>
  <c r="G31" i="1"/>
  <c r="G35" i="1"/>
  <c r="G58" i="1"/>
  <c r="G60" i="1"/>
  <c r="G62" i="1"/>
  <c r="G45" i="1"/>
  <c r="F41" i="2"/>
  <c r="F42" i="2"/>
  <c r="F43" i="2"/>
  <c r="F44" i="2"/>
  <c r="F45" i="2"/>
  <c r="F46" i="2"/>
  <c r="F47" i="2"/>
  <c r="F48" i="2"/>
  <c r="F49" i="2"/>
  <c r="F50" i="2"/>
  <c r="F51" i="2"/>
  <c r="I52" i="2"/>
  <c r="G46" i="1"/>
  <c r="G47" i="1"/>
  <c r="G49" i="1"/>
  <c r="H37" i="1"/>
  <c r="H64" i="2"/>
  <c r="H40" i="1"/>
  <c r="H38" i="1"/>
  <c r="H41" i="1"/>
  <c r="G61" i="1"/>
  <c r="H31" i="1"/>
  <c r="H35" i="1"/>
  <c r="H58" i="1"/>
  <c r="H60" i="1"/>
  <c r="H62" i="1"/>
  <c r="H45" i="1"/>
  <c r="F53" i="2"/>
  <c r="F54" i="2"/>
  <c r="F55" i="2"/>
  <c r="F56" i="2"/>
  <c r="F57" i="2"/>
  <c r="F58" i="2"/>
  <c r="F59" i="2"/>
  <c r="F60" i="2"/>
  <c r="F61" i="2"/>
  <c r="F62" i="2"/>
  <c r="F63" i="2"/>
  <c r="F64" i="2"/>
  <c r="I64" i="2"/>
  <c r="H46" i="1"/>
  <c r="H47" i="1"/>
  <c r="H49" i="1"/>
  <c r="I37" i="1"/>
  <c r="H76" i="2"/>
  <c r="I40" i="1"/>
  <c r="I38" i="1"/>
  <c r="I41" i="1"/>
  <c r="H61" i="1"/>
  <c r="I31" i="1"/>
  <c r="I35" i="1"/>
  <c r="I58" i="1"/>
  <c r="I60" i="1"/>
  <c r="I62" i="1"/>
  <c r="I45" i="1"/>
  <c r="F65" i="2"/>
  <c r="F66" i="2"/>
  <c r="F67" i="2"/>
  <c r="F68" i="2"/>
  <c r="F69" i="2"/>
  <c r="F70" i="2"/>
  <c r="F71" i="2"/>
  <c r="F72" i="2"/>
  <c r="F73" i="2"/>
  <c r="F74" i="2"/>
  <c r="F75" i="2"/>
  <c r="F76" i="2"/>
  <c r="I76" i="2"/>
  <c r="I46" i="1"/>
  <c r="I47" i="1"/>
  <c r="I49" i="1"/>
  <c r="J37" i="1"/>
  <c r="H88" i="2"/>
  <c r="J40" i="1"/>
  <c r="J38" i="1"/>
  <c r="J41" i="1"/>
  <c r="I61" i="1"/>
  <c r="J31" i="1"/>
  <c r="J35" i="1"/>
  <c r="J58" i="1"/>
  <c r="J60" i="1"/>
  <c r="J62" i="1"/>
  <c r="J45" i="1"/>
  <c r="F77" i="2"/>
  <c r="F78" i="2"/>
  <c r="F79" i="2"/>
  <c r="F80" i="2"/>
  <c r="F81" i="2"/>
  <c r="F82" i="2"/>
  <c r="F83" i="2"/>
  <c r="F84" i="2"/>
  <c r="F85" i="2"/>
  <c r="F86" i="2"/>
  <c r="F87" i="2"/>
  <c r="F88" i="2"/>
  <c r="I88" i="2"/>
  <c r="J46" i="1"/>
  <c r="J47" i="1"/>
  <c r="J49" i="1"/>
  <c r="K37" i="1"/>
  <c r="H100" i="2"/>
  <c r="K40" i="1"/>
  <c r="K38" i="1"/>
  <c r="K41" i="1"/>
  <c r="J61" i="1"/>
  <c r="K31" i="1"/>
  <c r="K35" i="1"/>
  <c r="K58" i="1"/>
  <c r="K60" i="1"/>
  <c r="K62" i="1"/>
  <c r="K45" i="1"/>
  <c r="F89" i="2"/>
  <c r="F90" i="2"/>
  <c r="F91" i="2"/>
  <c r="F92" i="2"/>
  <c r="F93" i="2"/>
  <c r="F94" i="2"/>
  <c r="F95" i="2"/>
  <c r="F96" i="2"/>
  <c r="F97" i="2"/>
  <c r="F98" i="2"/>
  <c r="F99" i="2"/>
  <c r="F100" i="2"/>
  <c r="I100" i="2"/>
  <c r="K46" i="1"/>
  <c r="K47" i="1"/>
  <c r="K49" i="1"/>
  <c r="L37" i="1"/>
  <c r="H112" i="2"/>
  <c r="L40" i="1"/>
  <c r="L38" i="1"/>
  <c r="L41" i="1"/>
  <c r="K61" i="1"/>
  <c r="L31" i="1"/>
  <c r="L35" i="1"/>
  <c r="L58" i="1"/>
  <c r="L60" i="1"/>
  <c r="L62" i="1"/>
  <c r="L45" i="1"/>
  <c r="F101" i="2"/>
  <c r="F102" i="2"/>
  <c r="F103" i="2"/>
  <c r="F104" i="2"/>
  <c r="F105" i="2"/>
  <c r="F106" i="2"/>
  <c r="F107" i="2"/>
  <c r="F108" i="2"/>
  <c r="F109" i="2"/>
  <c r="F110" i="2"/>
  <c r="F111" i="2"/>
  <c r="F112" i="2"/>
  <c r="I112" i="2"/>
  <c r="L46" i="1"/>
  <c r="L47" i="1"/>
  <c r="L49" i="1"/>
  <c r="M37" i="1"/>
  <c r="H124" i="2"/>
  <c r="M40" i="1"/>
  <c r="M38" i="1"/>
  <c r="M41" i="1"/>
  <c r="L61" i="1"/>
  <c r="M31" i="1"/>
  <c r="M35" i="1"/>
  <c r="M58" i="1"/>
  <c r="M60" i="1"/>
  <c r="M62" i="1"/>
  <c r="M45" i="1"/>
  <c r="F113" i="2"/>
  <c r="F114" i="2"/>
  <c r="F115" i="2"/>
  <c r="F116" i="2"/>
  <c r="F117" i="2"/>
  <c r="F118" i="2"/>
  <c r="F119" i="2"/>
  <c r="F120" i="2"/>
  <c r="F121" i="2"/>
  <c r="F122" i="2"/>
  <c r="F123" i="2"/>
  <c r="F124" i="2"/>
  <c r="I124" i="2"/>
  <c r="M46" i="1"/>
  <c r="M47" i="1"/>
  <c r="M49" i="1"/>
  <c r="N37" i="1"/>
  <c r="H136" i="2"/>
  <c r="N40" i="1"/>
  <c r="N38" i="1"/>
  <c r="N41" i="1"/>
  <c r="M61" i="1"/>
  <c r="N31" i="1"/>
  <c r="N35" i="1"/>
  <c r="N58" i="1"/>
  <c r="N60" i="1"/>
  <c r="N62" i="1"/>
  <c r="N45" i="1"/>
  <c r="F125" i="2"/>
  <c r="F126" i="2"/>
  <c r="F127" i="2"/>
  <c r="F128" i="2"/>
  <c r="F129" i="2"/>
  <c r="F130" i="2"/>
  <c r="F131" i="2"/>
  <c r="F132" i="2"/>
  <c r="F133" i="2"/>
  <c r="F134" i="2"/>
  <c r="F135" i="2"/>
  <c r="F136" i="2"/>
  <c r="I136" i="2"/>
  <c r="N46" i="1"/>
  <c r="N47" i="1"/>
  <c r="N49" i="1"/>
  <c r="O37" i="1"/>
  <c r="H148" i="2"/>
  <c r="O40" i="1"/>
  <c r="O38" i="1"/>
  <c r="O41" i="1"/>
  <c r="N61" i="1"/>
  <c r="O31" i="1"/>
  <c r="O35" i="1"/>
  <c r="O58" i="1"/>
  <c r="O60" i="1"/>
  <c r="O62" i="1"/>
  <c r="O45" i="1"/>
  <c r="F137" i="2"/>
  <c r="F138" i="2"/>
  <c r="F139" i="2"/>
  <c r="F140" i="2"/>
  <c r="F141" i="2"/>
  <c r="F142" i="2"/>
  <c r="F143" i="2"/>
  <c r="F144" i="2"/>
  <c r="F145" i="2"/>
  <c r="F146" i="2"/>
  <c r="F147" i="2"/>
  <c r="F148" i="2"/>
  <c r="I148" i="2"/>
  <c r="O46" i="1"/>
  <c r="O47" i="1"/>
  <c r="O49" i="1"/>
  <c r="P37" i="1"/>
  <c r="H160" i="2"/>
  <c r="P40" i="1"/>
  <c r="P38" i="1"/>
  <c r="P41" i="1"/>
  <c r="O61" i="1"/>
  <c r="P31" i="1"/>
  <c r="P35" i="1"/>
  <c r="P58" i="1"/>
  <c r="P60" i="1"/>
  <c r="P62" i="1"/>
  <c r="P45" i="1"/>
  <c r="F149" i="2"/>
  <c r="F150" i="2"/>
  <c r="F151" i="2"/>
  <c r="F152" i="2"/>
  <c r="F153" i="2"/>
  <c r="F154" i="2"/>
  <c r="F155" i="2"/>
  <c r="F156" i="2"/>
  <c r="F157" i="2"/>
  <c r="F158" i="2"/>
  <c r="F159" i="2"/>
  <c r="F160" i="2"/>
  <c r="I160" i="2"/>
  <c r="P46" i="1"/>
  <c r="P47" i="1"/>
  <c r="P49" i="1"/>
  <c r="Q37" i="1"/>
  <c r="H172" i="2"/>
  <c r="Q40" i="1"/>
  <c r="Q38" i="1"/>
  <c r="Q41" i="1"/>
  <c r="P61" i="1"/>
  <c r="Q31" i="1"/>
  <c r="Q35" i="1"/>
  <c r="Q58" i="1"/>
  <c r="Q60" i="1"/>
  <c r="Q62" i="1"/>
  <c r="Q45" i="1"/>
  <c r="F161" i="2"/>
  <c r="F162" i="2"/>
  <c r="F163" i="2"/>
  <c r="F164" i="2"/>
  <c r="F165" i="2"/>
  <c r="F166" i="2"/>
  <c r="F167" i="2"/>
  <c r="F168" i="2"/>
  <c r="F169" i="2"/>
  <c r="F170" i="2"/>
  <c r="F171" i="2"/>
  <c r="F172" i="2"/>
  <c r="I172" i="2"/>
  <c r="Q46" i="1"/>
  <c r="Q47" i="1"/>
  <c r="Q49" i="1"/>
  <c r="R37" i="1"/>
  <c r="H184" i="2"/>
  <c r="R40" i="1"/>
  <c r="R38" i="1"/>
  <c r="R41" i="1"/>
  <c r="Q61" i="1"/>
  <c r="R31" i="1"/>
  <c r="R35" i="1"/>
  <c r="R58" i="1"/>
  <c r="R60" i="1"/>
  <c r="R62" i="1"/>
  <c r="R45" i="1"/>
  <c r="F173" i="2"/>
  <c r="F174" i="2"/>
  <c r="F175" i="2"/>
  <c r="F176" i="2"/>
  <c r="F177" i="2"/>
  <c r="F178" i="2"/>
  <c r="F179" i="2"/>
  <c r="F180" i="2"/>
  <c r="F181" i="2"/>
  <c r="F182" i="2"/>
  <c r="F183" i="2"/>
  <c r="F184" i="2"/>
  <c r="I184" i="2"/>
  <c r="R46" i="1"/>
  <c r="R47" i="1"/>
  <c r="R49" i="1"/>
  <c r="S37" i="1"/>
  <c r="H196" i="2"/>
  <c r="S40" i="1"/>
  <c r="S38" i="1"/>
  <c r="S41" i="1"/>
  <c r="R61" i="1"/>
  <c r="S31" i="1"/>
  <c r="S35" i="1"/>
  <c r="S58" i="1"/>
  <c r="S60" i="1"/>
  <c r="S62" i="1"/>
  <c r="S45" i="1"/>
  <c r="F185" i="2"/>
  <c r="F186" i="2"/>
  <c r="F187" i="2"/>
  <c r="F188" i="2"/>
  <c r="F189" i="2"/>
  <c r="F190" i="2"/>
  <c r="F191" i="2"/>
  <c r="F192" i="2"/>
  <c r="F193" i="2"/>
  <c r="F194" i="2"/>
  <c r="F195" i="2"/>
  <c r="F196" i="2"/>
  <c r="I196" i="2"/>
  <c r="S46" i="1"/>
  <c r="S47" i="1"/>
  <c r="S49" i="1"/>
  <c r="T37" i="1"/>
  <c r="H208" i="2"/>
  <c r="T40" i="1"/>
  <c r="T38" i="1"/>
  <c r="T41" i="1"/>
  <c r="S61" i="1"/>
  <c r="T31" i="1"/>
  <c r="T35" i="1"/>
  <c r="T58" i="1"/>
  <c r="T60" i="1"/>
  <c r="T62" i="1"/>
  <c r="T45" i="1"/>
  <c r="F197" i="2"/>
  <c r="F198" i="2"/>
  <c r="F199" i="2"/>
  <c r="F200" i="2"/>
  <c r="F201" i="2"/>
  <c r="F202" i="2"/>
  <c r="F203" i="2"/>
  <c r="F204" i="2"/>
  <c r="F205" i="2"/>
  <c r="F206" i="2"/>
  <c r="F207" i="2"/>
  <c r="F208" i="2"/>
  <c r="I208" i="2"/>
  <c r="T46" i="1"/>
  <c r="T47" i="1"/>
  <c r="T49" i="1"/>
  <c r="U37" i="1"/>
  <c r="H220" i="2"/>
  <c r="U40" i="1"/>
  <c r="U38" i="1"/>
  <c r="U41" i="1"/>
  <c r="T61" i="1"/>
  <c r="U31" i="1"/>
  <c r="U35" i="1"/>
  <c r="U58" i="1"/>
  <c r="U60" i="1"/>
  <c r="U62" i="1"/>
  <c r="U45" i="1"/>
  <c r="F209" i="2"/>
  <c r="F210" i="2"/>
  <c r="F211" i="2"/>
  <c r="F212" i="2"/>
  <c r="F213" i="2"/>
  <c r="F214" i="2"/>
  <c r="F215" i="2"/>
  <c r="F216" i="2"/>
  <c r="F217" i="2"/>
  <c r="F218" i="2"/>
  <c r="F219" i="2"/>
  <c r="F220" i="2"/>
  <c r="I220" i="2"/>
  <c r="U46" i="1"/>
  <c r="U47" i="1"/>
  <c r="U49" i="1"/>
  <c r="V37" i="1"/>
  <c r="H232" i="2"/>
  <c r="V40" i="1"/>
  <c r="V38" i="1"/>
  <c r="V41" i="1"/>
  <c r="U61" i="1"/>
  <c r="V31" i="1"/>
  <c r="V35" i="1"/>
  <c r="V58" i="1"/>
  <c r="V60" i="1"/>
  <c r="V62" i="1"/>
  <c r="V45" i="1"/>
  <c r="F221" i="2"/>
  <c r="F222" i="2"/>
  <c r="F223" i="2"/>
  <c r="F224" i="2"/>
  <c r="F225" i="2"/>
  <c r="F226" i="2"/>
  <c r="F227" i="2"/>
  <c r="F228" i="2"/>
  <c r="F229" i="2"/>
  <c r="F230" i="2"/>
  <c r="F231" i="2"/>
  <c r="F232" i="2"/>
  <c r="I232" i="2"/>
  <c r="V46" i="1"/>
  <c r="V47" i="1"/>
  <c r="V49" i="1"/>
  <c r="W37" i="1"/>
  <c r="H244" i="2"/>
  <c r="W40" i="1"/>
  <c r="W38" i="1"/>
  <c r="W41" i="1"/>
  <c r="V61" i="1"/>
  <c r="W31" i="1"/>
  <c r="W35" i="1"/>
  <c r="W58" i="1"/>
  <c r="W60" i="1"/>
  <c r="W62" i="1"/>
  <c r="W45" i="1"/>
  <c r="F233" i="2"/>
  <c r="F234" i="2"/>
  <c r="F235" i="2"/>
  <c r="F236" i="2"/>
  <c r="F237" i="2"/>
  <c r="F238" i="2"/>
  <c r="F239" i="2"/>
  <c r="F240" i="2"/>
  <c r="F241" i="2"/>
  <c r="F242" i="2"/>
  <c r="F243" i="2"/>
  <c r="F244" i="2"/>
  <c r="I244" i="2"/>
  <c r="W46" i="1"/>
  <c r="W47" i="1"/>
  <c r="W49" i="1"/>
  <c r="X37" i="1"/>
  <c r="H256" i="2"/>
  <c r="X40" i="1"/>
  <c r="X38" i="1"/>
  <c r="X41" i="1"/>
  <c r="W61" i="1"/>
  <c r="X31" i="1"/>
  <c r="X35" i="1"/>
  <c r="X58" i="1"/>
  <c r="X60" i="1"/>
  <c r="X62" i="1"/>
  <c r="X45" i="1"/>
  <c r="F245" i="2"/>
  <c r="F246" i="2"/>
  <c r="F247" i="2"/>
  <c r="F248" i="2"/>
  <c r="F249" i="2"/>
  <c r="F250" i="2"/>
  <c r="F251" i="2"/>
  <c r="F252" i="2"/>
  <c r="F253" i="2"/>
  <c r="F254" i="2"/>
  <c r="F255" i="2"/>
  <c r="F256" i="2"/>
  <c r="I256" i="2"/>
  <c r="X46" i="1"/>
  <c r="X47" i="1"/>
  <c r="X49" i="1"/>
  <c r="Y37" i="1"/>
  <c r="H268" i="2"/>
  <c r="Y40" i="1"/>
  <c r="Y38" i="1"/>
  <c r="Y41" i="1"/>
  <c r="X61" i="1"/>
  <c r="Y31" i="1"/>
  <c r="Y35" i="1"/>
  <c r="Y58" i="1"/>
  <c r="Y60" i="1"/>
  <c r="Y62" i="1"/>
  <c r="Y45" i="1"/>
  <c r="F257" i="2"/>
  <c r="F258" i="2"/>
  <c r="F259" i="2"/>
  <c r="F260" i="2"/>
  <c r="F261" i="2"/>
  <c r="F262" i="2"/>
  <c r="F263" i="2"/>
  <c r="F264" i="2"/>
  <c r="F265" i="2"/>
  <c r="F266" i="2"/>
  <c r="F267" i="2"/>
  <c r="F268" i="2"/>
  <c r="I268" i="2"/>
  <c r="Y46" i="1"/>
  <c r="Y47" i="1"/>
  <c r="Y49" i="1"/>
  <c r="Z37" i="1"/>
  <c r="H280" i="2"/>
  <c r="Z40" i="1"/>
  <c r="Z38" i="1"/>
  <c r="Z41" i="1"/>
  <c r="Y61" i="1"/>
  <c r="Z31" i="1"/>
  <c r="Z35" i="1"/>
  <c r="Z58" i="1"/>
  <c r="Z60" i="1"/>
  <c r="Z62" i="1"/>
  <c r="Z45" i="1"/>
  <c r="F269" i="2"/>
  <c r="F270" i="2"/>
  <c r="F271" i="2"/>
  <c r="F272" i="2"/>
  <c r="F273" i="2"/>
  <c r="F274" i="2"/>
  <c r="F275" i="2"/>
  <c r="F276" i="2"/>
  <c r="F277" i="2"/>
  <c r="F278" i="2"/>
  <c r="F279" i="2"/>
  <c r="F280" i="2"/>
  <c r="I280" i="2"/>
  <c r="Z46" i="1"/>
  <c r="Z47" i="1"/>
  <c r="Z49" i="1"/>
  <c r="AA37" i="1"/>
  <c r="H292" i="2"/>
  <c r="AA40" i="1"/>
  <c r="AA38" i="1"/>
  <c r="AA41" i="1"/>
  <c r="Z61" i="1"/>
  <c r="AA31" i="1"/>
  <c r="AA35" i="1"/>
  <c r="AA58" i="1"/>
  <c r="AA60" i="1"/>
  <c r="AA62" i="1"/>
  <c r="AA45" i="1"/>
  <c r="F281" i="2"/>
  <c r="F282" i="2"/>
  <c r="F283" i="2"/>
  <c r="F284" i="2"/>
  <c r="F285" i="2"/>
  <c r="F286" i="2"/>
  <c r="F287" i="2"/>
  <c r="F288" i="2"/>
  <c r="F289" i="2"/>
  <c r="F290" i="2"/>
  <c r="F291" i="2"/>
  <c r="F292" i="2"/>
  <c r="I292" i="2"/>
  <c r="AA46" i="1"/>
  <c r="AA47" i="1"/>
  <c r="AA49" i="1"/>
  <c r="AB37" i="1"/>
  <c r="H304" i="2"/>
  <c r="AB40" i="1"/>
  <c r="AB38" i="1"/>
  <c r="AB41" i="1"/>
  <c r="AA61" i="1"/>
  <c r="AB31" i="1"/>
  <c r="AB35" i="1"/>
  <c r="AB58" i="1"/>
  <c r="AB60" i="1"/>
  <c r="AB62" i="1"/>
  <c r="AB45" i="1"/>
  <c r="F293" i="2"/>
  <c r="F294" i="2"/>
  <c r="F295" i="2"/>
  <c r="F296" i="2"/>
  <c r="F297" i="2"/>
  <c r="F298" i="2"/>
  <c r="F299" i="2"/>
  <c r="F300" i="2"/>
  <c r="F301" i="2"/>
  <c r="F302" i="2"/>
  <c r="F303" i="2"/>
  <c r="F304" i="2"/>
  <c r="I304" i="2"/>
  <c r="AB46" i="1"/>
  <c r="AB47" i="1"/>
  <c r="AB49" i="1"/>
  <c r="AC62" i="1"/>
  <c r="AC45" i="1"/>
  <c r="AC47" i="1"/>
  <c r="AC49" i="1"/>
  <c r="C35" i="1"/>
  <c r="C39" i="1"/>
  <c r="C41" i="1"/>
  <c r="C42" i="1"/>
  <c r="C49" i="1"/>
  <c r="H9" i="1"/>
  <c r="C6" i="4"/>
  <c r="C7" i="4"/>
  <c r="C21" i="4"/>
  <c r="C23" i="4"/>
  <c r="C24" i="4"/>
  <c r="E25" i="4"/>
  <c r="C25" i="4"/>
  <c r="H20" i="1"/>
  <c r="H19" i="1"/>
  <c r="H6" i="1"/>
  <c r="C52" i="1"/>
  <c r="C51" i="1"/>
  <c r="D51" i="1"/>
  <c r="D52" i="1"/>
  <c r="E52" i="1"/>
  <c r="E51" i="1"/>
  <c r="F51" i="1"/>
  <c r="F52" i="1"/>
  <c r="G52" i="1"/>
  <c r="G51" i="1"/>
  <c r="H51" i="1"/>
  <c r="H52" i="1"/>
  <c r="I52" i="1"/>
  <c r="I51" i="1"/>
  <c r="J52" i="1"/>
  <c r="J51" i="1"/>
  <c r="K52" i="1"/>
  <c r="K51" i="1"/>
  <c r="L51" i="1"/>
  <c r="L52" i="1"/>
  <c r="M52" i="1"/>
  <c r="M51" i="1"/>
  <c r="N52" i="1"/>
  <c r="N51" i="1"/>
  <c r="O52" i="1"/>
  <c r="O51" i="1"/>
  <c r="P51" i="1"/>
  <c r="P52" i="1"/>
  <c r="Q52" i="1"/>
  <c r="Q51" i="1"/>
  <c r="R51" i="1"/>
  <c r="R52" i="1"/>
  <c r="S51" i="1"/>
  <c r="S52" i="1"/>
  <c r="T52" i="1"/>
  <c r="T51" i="1"/>
  <c r="U51" i="1"/>
  <c r="U52" i="1"/>
  <c r="V51" i="1"/>
  <c r="V52" i="1"/>
  <c r="W51" i="1"/>
  <c r="W52" i="1"/>
  <c r="X52" i="1"/>
  <c r="X51" i="1"/>
  <c r="Y52" i="1"/>
  <c r="Y51" i="1"/>
  <c r="Z51" i="1"/>
  <c r="Z52" i="1"/>
  <c r="AA51" i="1"/>
  <c r="AA52" i="1"/>
  <c r="AB61" i="1"/>
  <c r="AB52" i="1"/>
  <c r="AB51" i="1"/>
  <c r="E55" i="1"/>
  <c r="F55" i="1"/>
</calcChain>
</file>

<file path=xl/comments1.xml><?xml version="1.0" encoding="utf-8"?>
<comments xmlns="http://schemas.openxmlformats.org/spreadsheetml/2006/main">
  <authors>
    <author>Steve Forget</author>
  </authors>
  <commentList>
    <comment ref="H6" authorId="0">
      <text>
        <r>
          <rPr>
            <b/>
            <sz val="9"/>
            <color indexed="81"/>
            <rFont val="Arial"/>
          </rPr>
          <t>Le TRI est le taux de rendement qui rendrait la VAN égal à zéro. 
Vous voulez un TRI plus élevé que le taux d'actualisation minimum ci-dessous.</t>
        </r>
      </text>
    </comment>
    <comment ref="H8" authorId="0">
      <text>
        <r>
          <rPr>
            <b/>
            <sz val="9"/>
            <color indexed="81"/>
            <rFont val="Arial"/>
          </rPr>
          <t xml:space="preserve">Taux de rendement minimum que vous désirez avoir sur votre investissement initial. </t>
        </r>
      </text>
    </comment>
    <comment ref="H9" authorId="0">
      <text>
        <r>
          <rPr>
            <sz val="9"/>
            <color indexed="81"/>
            <rFont val="Arial"/>
          </rPr>
          <t xml:space="preserve">La VAN est la valeur actualisée de vos flux monétaires de l'année 1 à N+1, actualisée à l'année 0 avec le taux d'actualisation que vous indique ci-dessus.
Si la VAN est positive (donc plus haute que zéro), ça veut donc dire qu'en plus de faire un taux de rendement égal à votre taux de rendement minimum, vous obtiendrez en plus un montant égal à la VAN (en valeur d'aujourd'hui). 
</t>
        </r>
      </text>
    </comment>
    <comment ref="C11" authorId="0">
      <text>
        <r>
          <rPr>
            <b/>
            <sz val="9"/>
            <color indexed="81"/>
            <rFont val="Arial"/>
          </rPr>
          <t>Entrez les données détaillées à votre droite.</t>
        </r>
        <r>
          <rPr>
            <sz val="9"/>
            <color indexed="81"/>
            <rFont val="Arial"/>
          </rPr>
          <t xml:space="preserve">
</t>
        </r>
      </text>
    </comment>
    <comment ref="C12" authorId="0">
      <text>
        <r>
          <rPr>
            <b/>
            <sz val="9"/>
            <color indexed="81"/>
            <rFont val="Arial"/>
          </rPr>
          <t xml:space="preserve">Moyenne annuelle sur 25 ans. Ici je fait l'hypothèse que ce sont des dépenses non-amortissables, donc déductibles d'impôt.
</t>
        </r>
      </text>
    </comment>
    <comment ref="C13" authorId="0">
      <text>
        <r>
          <rPr>
            <b/>
            <sz val="9"/>
            <color indexed="81"/>
            <rFont val="Arial"/>
          </rPr>
          <t>Allez sur le site
http://www.impot.net/fr/immobilier/mutation/
pour le calcul automatiquement</t>
        </r>
      </text>
    </comment>
    <comment ref="C15" authorId="0">
      <text>
        <r>
          <rPr>
            <sz val="9"/>
            <color indexed="81"/>
            <rFont val="Arial"/>
          </rPr>
          <t xml:space="preserve">Attention ici avec le taux d'intérêt, le fichier du cash flow est fait sur une durée de 25 ans. Les taux d'intérêt ne resteront pas aussi bas que maintenant.Je conseille de prendre un taux plus haut que votre taux actuel. 
</t>
        </r>
      </text>
    </comment>
    <comment ref="E15" authorId="0">
      <text>
        <r>
          <rPr>
            <b/>
            <sz val="9"/>
            <color indexed="81"/>
            <rFont val="Arial"/>
          </rPr>
          <t xml:space="preserve">Ne pas toucher à cette case.
</t>
        </r>
      </text>
    </comment>
    <comment ref="H15" authorId="0">
      <text>
        <r>
          <rPr>
            <b/>
            <sz val="9"/>
            <color indexed="81"/>
            <rFont val="Arial"/>
          </rPr>
          <t>Ne pas toucher à cette case.</t>
        </r>
      </text>
    </comment>
    <comment ref="C22" authorId="0">
      <text>
        <r>
          <rPr>
            <b/>
            <sz val="9"/>
            <color indexed="81"/>
            <rFont val="Arial"/>
          </rPr>
          <t>Frais de notaire
Inpection du bâtiment
Évaluation environnementale (s'il y a lieu)</t>
        </r>
      </text>
    </comment>
    <comment ref="C23" authorId="0">
      <text>
        <r>
          <rPr>
            <b/>
            <sz val="9"/>
            <color indexed="81"/>
            <rFont val="Arial"/>
          </rPr>
          <t xml:space="preserve">Selon la fiche MLS ou le rôle foncier.
</t>
        </r>
      </text>
    </comment>
    <comment ref="C24" authorId="0">
      <text>
        <r>
          <rPr>
            <b/>
            <sz val="9"/>
            <color indexed="81"/>
            <rFont val="Arial"/>
          </rPr>
          <t xml:space="preserve">Selon la fiche MLS ou le rôle foncier.
</t>
        </r>
      </text>
    </comment>
    <comment ref="AC33" authorId="0">
      <text>
        <r>
          <rPr>
            <b/>
            <sz val="9"/>
            <color indexed="81"/>
            <rFont val="Arial"/>
          </rPr>
          <t xml:space="preserve">Mis ici pour fin de calcul de l'impôt seulement, ce n'est pas une rentrée d'argent.  </t>
        </r>
      </text>
    </comment>
    <comment ref="AC35" authorId="0">
      <text>
        <r>
          <rPr>
            <sz val="9"/>
            <color indexed="81"/>
            <rFont val="Arial"/>
          </rPr>
          <t xml:space="preserve">Ce montant n'inclut évidemment pas la récupération d'amortissement. 
</t>
        </r>
      </text>
    </comment>
    <comment ref="B66" authorId="0">
      <text>
        <r>
          <rPr>
            <b/>
            <sz val="9"/>
            <color indexed="81"/>
            <rFont val="Arial"/>
          </rPr>
          <t xml:space="preserve">La prime SCHL est amortissable sur les 5 premières années après l'achat. 
</t>
        </r>
      </text>
    </comment>
  </commentList>
</comments>
</file>

<file path=xl/sharedStrings.xml><?xml version="1.0" encoding="utf-8"?>
<sst xmlns="http://schemas.openxmlformats.org/spreadsheetml/2006/main" count="220" uniqueCount="174">
  <si>
    <t>Mise de fonds initial</t>
  </si>
  <si>
    <t>Revenus bruts</t>
  </si>
  <si>
    <t>Hypothèque</t>
  </si>
  <si>
    <t>Valeur de revente</t>
  </si>
  <si>
    <t>FLUX POSITIFS TOTAUX</t>
  </si>
  <si>
    <t>Dépenses d'exploitation</t>
  </si>
  <si>
    <t>Intérêts sur hypothèque</t>
  </si>
  <si>
    <t>Frais de premier établissement</t>
  </si>
  <si>
    <t>Investissement principal</t>
  </si>
  <si>
    <t>Remboursement hypothèque</t>
  </si>
  <si>
    <t>FLUX NÉGATIFS TOTAUX</t>
  </si>
  <si>
    <t>Valeur</t>
  </si>
  <si>
    <t>Capital</t>
  </si>
  <si>
    <t>Intérêt</t>
  </si>
  <si>
    <t>Solde</t>
  </si>
  <si>
    <t>Paiement</t>
  </si>
  <si>
    <t>Taux effectif Mensuel</t>
  </si>
  <si>
    <t>Remboursement Hypothèque</t>
  </si>
  <si>
    <t xml:space="preserve">Taux effectif annuel </t>
  </si>
  <si>
    <t>Année 1</t>
  </si>
  <si>
    <t>Année 2</t>
  </si>
  <si>
    <t>Année 3</t>
  </si>
  <si>
    <t>Année 4</t>
  </si>
  <si>
    <t>Année 5</t>
  </si>
  <si>
    <t>Année 6</t>
  </si>
  <si>
    <t>Année 7</t>
  </si>
  <si>
    <t>Année 8</t>
  </si>
  <si>
    <t>Année 9</t>
  </si>
  <si>
    <t>Année 10</t>
  </si>
  <si>
    <t>Année 11</t>
  </si>
  <si>
    <t>Année 12</t>
  </si>
  <si>
    <t>Année 13</t>
  </si>
  <si>
    <t>Année 14</t>
  </si>
  <si>
    <t>Année 15</t>
  </si>
  <si>
    <t>Année 16</t>
  </si>
  <si>
    <t>Année 17</t>
  </si>
  <si>
    <t>Année 18</t>
  </si>
  <si>
    <t>Année 19</t>
  </si>
  <si>
    <t>Année 20</t>
  </si>
  <si>
    <t>Année 21</t>
  </si>
  <si>
    <t>Année 22</t>
  </si>
  <si>
    <t>Année 23</t>
  </si>
  <si>
    <t>Année 24</t>
  </si>
  <si>
    <t>Année 25</t>
  </si>
  <si>
    <t>ANNEE</t>
  </si>
  <si>
    <t>INTERET PAYEE</t>
  </si>
  <si>
    <t>REMBOURSEMENT</t>
  </si>
  <si>
    <t>Résultats Bruts</t>
  </si>
  <si>
    <t>IMPOTS</t>
  </si>
  <si>
    <t>Amortissement (4% de la bâtisse)</t>
  </si>
  <si>
    <t>Évaluation terrain</t>
  </si>
  <si>
    <t>Évaluation bâtisse</t>
  </si>
  <si>
    <t>Valeur Calcul Amortissement</t>
  </si>
  <si>
    <t>Total</t>
  </si>
  <si>
    <t>Pertes Reportées</t>
  </si>
  <si>
    <t>Impots à payer</t>
  </si>
  <si>
    <t>Amortissement</t>
  </si>
  <si>
    <t>Valeur actuel</t>
  </si>
  <si>
    <t>AMORTISSEMENT</t>
  </si>
  <si>
    <t>Prix d'achat</t>
  </si>
  <si>
    <t>Dépenses d'exploitation annuelle</t>
  </si>
  <si>
    <t>Rénovations majeures (moyenne annuelle)</t>
  </si>
  <si>
    <t>Taxe de mutation</t>
  </si>
  <si>
    <t>Revenus annuels</t>
  </si>
  <si>
    <t>Taux d'intérêt sur le prêt hypothécaire</t>
  </si>
  <si>
    <t>Taux d'augm. annuel moyen des revenus</t>
  </si>
  <si>
    <t>Taux de vacance moyen des logements</t>
  </si>
  <si>
    <t>Taux d'inflation moyen</t>
  </si>
  <si>
    <t>Taux d'imposition moyen</t>
  </si>
  <si>
    <t>Ratio Valeur Bâtisse / Valeur Total</t>
  </si>
  <si>
    <t>Augmentation annuelle moyenne de la valeur de la propriété</t>
  </si>
  <si>
    <t>Taux d'actualisation minimum</t>
  </si>
  <si>
    <t>Valeur actuelle nette (VAN)</t>
  </si>
  <si>
    <t>SORTIE LIQUIDE ANNUELLE</t>
  </si>
  <si>
    <t>ENTRÉE LIQUIDE ANNUELLE</t>
  </si>
  <si>
    <t>FLUX FINANCIERS (Calculés sur 25 ans)</t>
  </si>
  <si>
    <t>Taxes de mutation</t>
  </si>
  <si>
    <t>Rénovations majeures</t>
  </si>
  <si>
    <t>Achat (année 0)</t>
  </si>
  <si>
    <t>Années d'exploitation:</t>
  </si>
  <si>
    <t>Vente</t>
  </si>
  <si>
    <t>NE PAS TOUCHER À CETTE GRILLE, ELLE NE SERT QU'À CALCULER L'AMORTISSEMENT DE L'HYPOTHÈQUE ET LES VERSEMENTS</t>
  </si>
  <si>
    <t>Impôts à payer</t>
  </si>
  <si>
    <t>CHARGES (lignes 29 à 32)</t>
  </si>
  <si>
    <t>CASH-FLOW RÉSIDUEL ANNUEL NET</t>
  </si>
  <si>
    <t>Ratio Prix / Revenus bruts:</t>
  </si>
  <si>
    <t>Ratio Prix / Revenus nets:</t>
  </si>
  <si>
    <t>CALCUL DU RATIO DE COUVERTURE DE LA DETTE (5 ou 6 logements)</t>
  </si>
  <si>
    <t>REVENU BRUT :</t>
  </si>
  <si>
    <t xml:space="preserve">Nombre d'unités de logement : </t>
  </si>
  <si>
    <t xml:space="preserve"> - vacances/créances ( 3% du rev. brut) : </t>
  </si>
  <si>
    <t>REVENU BRUT EFFECTIF (annuel) :</t>
  </si>
  <si>
    <t>Dépenses générales :</t>
  </si>
  <si>
    <t>Taxes municipales</t>
  </si>
  <si>
    <t xml:space="preserve">Taxes scolaires </t>
  </si>
  <si>
    <t>Assurances</t>
  </si>
  <si>
    <t>Pour un immeuble de 5 ou 6 unités de logement, la SCHL exige au minimum un ratio de couverture de dette de 1.10. 
Un prêteur hypothécaire pourra plutôt exiger 1.14**.</t>
  </si>
  <si>
    <t>Dépenses d'exploitation :</t>
  </si>
  <si>
    <t>Chauffage/électricité</t>
  </si>
  <si>
    <t>Sécurité/déneigement/terrassement</t>
  </si>
  <si>
    <t>Électroménagers (100$/log.)</t>
  </si>
  <si>
    <t>Autres</t>
  </si>
  <si>
    <t>DÉPENSES TOTALES (annuelles) :</t>
  </si>
  <si>
    <t>**Source : www.tauxpromo.com/chronique1.html</t>
  </si>
  <si>
    <t>REVENU NET EFFECTIF [1 - 2]</t>
  </si>
  <si>
    <t xml:space="preserve"> - remboursement de la dette (cap+int)</t>
  </si>
  <si>
    <t>VOTRE RATIO DE COUVERTURE DETTE [3/4] :</t>
  </si>
  <si>
    <t>Excédent  revenus sur dépenses [3 - 4]</t>
  </si>
  <si>
    <t>CALCUL DES FLUX MONÉTAIRES (CASH FLOW) ET RENDEMENT</t>
  </si>
  <si>
    <r>
      <rPr>
        <b/>
        <u/>
        <sz val="11"/>
        <rFont val="Calibri"/>
        <scheme val="minor"/>
      </rPr>
      <t>INSTRUCTIONS</t>
    </r>
    <r>
      <rPr>
        <b/>
        <sz val="11"/>
        <rFont val="Calibri"/>
        <scheme val="minor"/>
      </rPr>
      <t xml:space="preserve"> : Incrire les chiffres réels dans les cases jaunes. Le ratio se calcule de façon automatique.</t>
    </r>
  </si>
  <si>
    <r>
      <rPr>
        <b/>
        <u/>
        <sz val="11"/>
        <rFont val="Calibri"/>
        <scheme val="minor"/>
      </rPr>
      <t>INSTRUCTIONS</t>
    </r>
    <r>
      <rPr>
        <b/>
        <sz val="11"/>
        <rFont val="Calibri"/>
        <scheme val="minor"/>
      </rPr>
      <t xml:space="preserve"> : Incrire les chiffres réels ou prévisions dans les cases jaunes. Les calculs se feront automatiquement. </t>
    </r>
  </si>
  <si>
    <t>Taxes scolaires</t>
  </si>
  <si>
    <t>Entretien normal</t>
  </si>
  <si>
    <t>Administration</t>
  </si>
  <si>
    <t>Électricité et gaz</t>
  </si>
  <si>
    <t>Hypothèque mensuelle (cap+int) :</t>
  </si>
  <si>
    <t>Mise de fonds</t>
  </si>
  <si>
    <t>Dépenses d'exploitation annuelles</t>
  </si>
  <si>
    <t>Taux d'augmentation annuel moyen des revenus</t>
  </si>
  <si>
    <t xml:space="preserve">Prix de vente attendu. Dans le cas d'une transaction assurée par la SCHL, il faudra ajuster à la hausse se prix de vente selon la prime d'assurance. </t>
  </si>
  <si>
    <t xml:space="preserve">Votre apport financier personnel pour conclure la transaction. Voir les détails ici. </t>
  </si>
  <si>
    <t xml:space="preserve">Taxes municipales et scolaires, assurances, électricité, mazout, gaz, entretien normal. </t>
  </si>
  <si>
    <t>Revenus annuels bruts générés par la propriété.</t>
  </si>
  <si>
    <t>Normalement le taux négocié avec votre banque. Cependant, dans le cadre de ce chiffrier, le calcul se fait sur 25 ans. Il est improbable que votre taux actuel demeure aussi bas durant toutes ces années. Faites des scénarios.</t>
  </si>
  <si>
    <t>Taux moyen prévu d'augmentation annuelle de vos revenus.</t>
  </si>
  <si>
    <t xml:space="preserve">Taux d'augmentation du coût de la vie. Voir Statistiques Canada. </t>
  </si>
  <si>
    <t>Votre taux d'imposition selon vos revenus annuels.</t>
  </si>
  <si>
    <t xml:space="preserve">Taux moyen d'innocupation de vos logements. Selon les régions du Québec, ça varie entre 2 et 5%. </t>
  </si>
  <si>
    <t>Frais de notaire, d'inspection en bâtiment, d'évaluation environnementale, taxes sur l'assurance hypothécaire.</t>
  </si>
  <si>
    <t>Montant de l'évaluation ($) du terrain selon le rôle foncier de la municipalité.</t>
  </si>
  <si>
    <t>Montant de l'évaluation ($) de la bâtisse selon le rôle foncier de la municipalité.</t>
  </si>
  <si>
    <t xml:space="preserve">% d'augmentation prévue (dure à prévoir!) de votre propriété en moyenne sur 25 ans. </t>
  </si>
  <si>
    <t>DÉFINITIONS POUR LA FEUILLE SAISIE, CASH-FLOW ET RENDEMENT</t>
  </si>
  <si>
    <t>Taux de rendement interne (TRI)</t>
  </si>
  <si>
    <t>Voir ce lien. C'est la taxe de bienvenue envoyée par la municipalité suite à la transaction.</t>
  </si>
  <si>
    <t xml:space="preserve">la prise de décision d'investir ou non dans une propriété locative. L'analyse financière est une des analyses à effectuer pour estimer les risques du projet. </t>
  </si>
  <si>
    <t xml:space="preserve">monétaires (cash-flow) et sur la rentabilité du projet. </t>
  </si>
  <si>
    <r>
      <t>Note sur l'onglet Saisie, cash-flow et rendement :</t>
    </r>
    <r>
      <rPr>
        <sz val="10"/>
        <rFont val="Arial"/>
      </rPr>
      <t xml:space="preserve"> cet outil a été développé pour facilité l'élaboration d'une grille des flux monétaires (cash-flow) sur une période de 25 ans (la période normale d'amotisation d'une hypothèque au Québec). Évidemment ce n'est pas le cas de tous les investissements. Vous pouvez vous inspirez de ce modèle pour construire un modèle adapté à vos besoins. </t>
    </r>
  </si>
  <si>
    <t>La VAN est la valeur actualisée de vos flux monétaires de l'année 1 à N+1, actualisée à l'année 0 avec le taux d'actualisation que vous indiquerez. Si la VAN est positive (donc plus haute que zéro), ça veut donc dire qu'en plus de faire un taux de rendement égal à votre taux de rendement minimum, vous obtiendrez en plus un montant égal à la VAN (en valeur d'aujourd'hui).</t>
  </si>
  <si>
    <t xml:space="preserve">Taux de rendement minimum que vous désirez avoir sur votre investissement initial. Généralement ce taux doit être en fonction du risque de l'investissement. Pour simplifier ce choix, ici nous pouvons prendre le rendement que vous obtiendriez sur vos placements si vous décidez de ne pas les investir en immobilier. J'ai utilisé 7% dans l'onglet suivant, libre à vous de le changer si vous le désirez. </t>
  </si>
  <si>
    <t xml:space="preserve">Le TRI est le taux de rendement qui rendrait la VAN égal à zéro. C'est le taux de rendement réel obtenu sur un projet au cours de sa vie. Si le TRI est plus haut que votre taux d'actualisation, c'est bon. </t>
  </si>
  <si>
    <t xml:space="preserve">Exemples: le toits, refaire tout le réseau électrique dans un appartement, refaire le système de plomberie. </t>
  </si>
  <si>
    <t>Taux de rendement des fonds propres (TRI)</t>
  </si>
  <si>
    <t>Taux d'intérêt sur le prêt hypothécaire (année 1 à 5)</t>
  </si>
  <si>
    <t>Taux d'intérêt sur le prêt hypothécaire (année 6 à 25)</t>
  </si>
  <si>
    <t>Années 1 à 5</t>
  </si>
  <si>
    <t>Années 6 à 25</t>
  </si>
  <si>
    <t>Calcul des paiements</t>
  </si>
  <si>
    <t>Évaluation municipale du terrain</t>
  </si>
  <si>
    <t>Évaluation municipale de la bâtisse</t>
  </si>
  <si>
    <t>Frais de  notaire, d'inspection, d'évaluation environnementale</t>
  </si>
  <si>
    <t xml:space="preserve">Équité </t>
  </si>
  <si>
    <t>Évaluation de la valeur au moment de l'achat</t>
  </si>
  <si>
    <t>Valeur estimée</t>
  </si>
  <si>
    <t>www.jeuneinvestisseurimmobilier.com</t>
  </si>
  <si>
    <r>
      <t xml:space="preserve">Blogue </t>
    </r>
    <r>
      <rPr>
        <b/>
        <i/>
        <sz val="14"/>
        <color theme="3" tint="0.39997558519241921"/>
        <rFont val="Arial"/>
      </rPr>
      <t>Jeune investisseur immobilier</t>
    </r>
    <r>
      <rPr>
        <b/>
        <sz val="14"/>
        <rFont val="Arial"/>
      </rPr>
      <t xml:space="preserve"> de Steve Forget</t>
    </r>
  </si>
  <si>
    <t>Récupération d'amortissement</t>
  </si>
  <si>
    <t>Prime SCHL</t>
  </si>
  <si>
    <t>Total amortissable</t>
  </si>
  <si>
    <t>Administration (4 % du rev. brut)</t>
  </si>
  <si>
    <t>Concierge (115$/log.)</t>
  </si>
  <si>
    <t>Entretien divers (470$/log.)</t>
  </si>
  <si>
    <t>variable selon le marché (3 à 5 %)</t>
  </si>
  <si>
    <t xml:space="preserve"> coût réel</t>
  </si>
  <si>
    <r>
      <t>3 à 4 % du rev.brut</t>
    </r>
    <r>
      <rPr>
        <vertAlign val="superscript"/>
        <sz val="9"/>
        <color rgb="FFFF0000"/>
        <rFont val="Calibri"/>
        <scheme val="minor"/>
      </rPr>
      <t>3</t>
    </r>
  </si>
  <si>
    <t>réel (optionnel)</t>
  </si>
  <si>
    <r>
      <t>115$/logement (5-6 logements)</t>
    </r>
    <r>
      <rPr>
        <vertAlign val="superscript"/>
        <sz val="9"/>
        <color rgb="FFFF0000"/>
        <rFont val="Calibri"/>
        <scheme val="minor"/>
      </rPr>
      <t>4</t>
    </r>
  </si>
  <si>
    <r>
      <t>470$/logement</t>
    </r>
    <r>
      <rPr>
        <vertAlign val="superscript"/>
        <sz val="9"/>
        <color rgb="FFFF0000"/>
        <rFont val="Calibri"/>
        <scheme val="minor"/>
      </rPr>
      <t>5</t>
    </r>
  </si>
  <si>
    <t>100$/logement loué meublé</t>
  </si>
  <si>
    <t>Avertissement important: Ce fichier de simulation a été élaboré dans un but éducatif seulement et n'est pas destiné à être utilisé comme seul outil pour décider d'investir ou non dans une propriété. Les données de ce fichier ne devraient pas être interprétées comme un conseil financier absolu. Le fichier peut contenir des erreurs, des inexactitudes et / ou des omissions et l'auteur ne pourra en être tenu responsable.</t>
  </si>
  <si>
    <r>
      <rPr>
        <b/>
        <sz val="10"/>
        <rFont val="Arial"/>
        <family val="2"/>
      </rPr>
      <t>Note sur l'onglet Calcul de couverture de dette :</t>
    </r>
    <r>
      <rPr>
        <sz val="10"/>
        <rFont val="Arial"/>
      </rPr>
      <t xml:space="preserve"> cet onglet est valide que pour les immeubles de 5 ou 6 logements. </t>
    </r>
  </si>
  <si>
    <t>PLEX V2.3 RENTABILITÉ FINANCIÈRE D'UN PROJET D'INVESTISSEMENT IMMOBILIER</t>
  </si>
  <si>
    <r>
      <t xml:space="preserve">PLEX V2.3 se veut un </t>
    </r>
    <r>
      <rPr>
        <b/>
        <sz val="10"/>
        <rFont val="Arial"/>
        <family val="2"/>
      </rPr>
      <t>outil d'aide à la décision</t>
    </r>
    <r>
      <rPr>
        <sz val="10"/>
        <rFont val="Arial"/>
      </rPr>
      <t xml:space="preserve"> pour évaluer la rentabilité financière d'un projet immobilier. Il y a plusieurs critères à évaluer lors de </t>
    </r>
  </si>
  <si>
    <t>PLEX V2.3 vous aidera à faire des prévisions et des scénarios en changeant les différentes variables des calculs pour voir les impacts sur les flux</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</si>
</sst>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 #,##0.00_)\ &quot;$&quot;_ ;_ * \(#,##0.00\)\ &quot;$&quot;_ ;_ * &quot;-&quot;??_)\ &quot;$&quot;_ ;_ @_ "/>
    <numFmt numFmtId="43" formatCode="_ * #,##0.00_)\ _$_ ;_ * \(#,##0.00\)\ _$_ ;_ * &quot;-&quot;??_)\ _$_ ;_ @_ "/>
    <numFmt numFmtId="164" formatCode="_-* #,##0.00\ &quot;$&quot;_-;_-* #,##0.00\ &quot;$&quot;\-;_-* &quot;-&quot;??\ &quot;$&quot;_-;_-@_-"/>
    <numFmt numFmtId="165" formatCode="_-* #,##0.00\ _$_-;_-* #,##0.00\ _$\-;_-* &quot;-&quot;??\ _$_-;_-@_-"/>
    <numFmt numFmtId="166" formatCode="0.0%"/>
    <numFmt numFmtId="167" formatCode="0.00;[Red]0.00"/>
    <numFmt numFmtId="168" formatCode="_-* #,##0\ &quot;$&quot;_-;_-* #,##0\ &quot;$&quot;\-;_-* &quot;-&quot;??\ &quot;$&quot;_-;_-@_-"/>
    <numFmt numFmtId="169" formatCode="_-* #,##0.0\ _$_-;_-* #,##0.0\ _$\-;_-* &quot;-&quot;??\ _$_-;_-@_-"/>
    <numFmt numFmtId="170" formatCode="_ * #,##0.00_)\ [$$-C0C]_ ;_ * \(#,##0.00\)\ [$$-C0C]_ ;_ * &quot;-&quot;??_)\ [$$-C0C]_ ;_ @_ "/>
    <numFmt numFmtId="171" formatCode="_ * #,##0_)\ &quot;$&quot;_ ;_ * \(#,##0\)\ &quot;$&quot;_ ;_ * &quot;-&quot;??_)\ &quot;$&quot;_ ;_ @_ "/>
  </numFmts>
  <fonts count="37" x14ac:knownFonts="1">
    <font>
      <sz val="10"/>
      <name val="Arial"/>
    </font>
    <font>
      <sz val="10"/>
      <name val="Arial"/>
      <family val="2"/>
    </font>
    <font>
      <sz val="8"/>
      <name val="Arial"/>
      <family val="2"/>
    </font>
    <font>
      <sz val="10"/>
      <color indexed="9"/>
      <name val="Arial"/>
      <family val="2"/>
    </font>
    <font>
      <b/>
      <sz val="10"/>
      <color indexed="9"/>
      <name val="Arial"/>
      <family val="2"/>
    </font>
    <font>
      <b/>
      <sz val="10"/>
      <name val="Arial"/>
      <family val="2"/>
    </font>
    <font>
      <b/>
      <sz val="10"/>
      <color indexed="22"/>
      <name val="Arial"/>
      <family val="2"/>
    </font>
    <font>
      <b/>
      <sz val="10"/>
      <color indexed="63"/>
      <name val="Arial"/>
      <family val="2"/>
    </font>
    <font>
      <b/>
      <sz val="10"/>
      <name val="Arial"/>
      <family val="2"/>
    </font>
    <font>
      <sz val="10"/>
      <name val="Arial"/>
      <family val="2"/>
    </font>
    <font>
      <b/>
      <sz val="20"/>
      <color indexed="9"/>
      <name val="Arial"/>
      <family val="2"/>
    </font>
    <font>
      <b/>
      <sz val="10"/>
      <color rgb="FFFF0000"/>
      <name val="Arial"/>
      <family val="2"/>
    </font>
    <font>
      <sz val="10"/>
      <color rgb="FFFF0000"/>
      <name val="Arial"/>
      <family val="2"/>
    </font>
    <font>
      <b/>
      <sz val="9"/>
      <color indexed="9"/>
      <name val="Arial"/>
      <family val="2"/>
    </font>
    <font>
      <b/>
      <sz val="10"/>
      <color theme="0"/>
      <name val="Arial"/>
    </font>
    <font>
      <b/>
      <sz val="9"/>
      <color indexed="81"/>
      <name val="Arial"/>
    </font>
    <font>
      <u/>
      <sz val="10"/>
      <color theme="10"/>
      <name val="Arial"/>
    </font>
    <font>
      <u/>
      <sz val="10"/>
      <color theme="11"/>
      <name val="Arial"/>
    </font>
    <font>
      <b/>
      <sz val="12"/>
      <color theme="1"/>
      <name val="Calibri"/>
      <family val="2"/>
      <scheme val="minor"/>
    </font>
    <font>
      <sz val="9"/>
      <color indexed="81"/>
      <name val="Arial"/>
    </font>
    <font>
      <sz val="11"/>
      <color theme="1"/>
      <name val="Calibri"/>
      <family val="2"/>
      <scheme val="minor"/>
    </font>
    <font>
      <b/>
      <sz val="14"/>
      <color theme="1"/>
      <name val="Calibri"/>
      <scheme val="minor"/>
    </font>
    <font>
      <b/>
      <sz val="11"/>
      <color theme="1"/>
      <name val="Calibri"/>
      <family val="2"/>
      <scheme val="minor"/>
    </font>
    <font>
      <sz val="8"/>
      <color theme="1"/>
      <name val="Calibri"/>
      <scheme val="minor"/>
    </font>
    <font>
      <b/>
      <sz val="11"/>
      <color rgb="FFFF0000"/>
      <name val="Calibri"/>
      <scheme val="minor"/>
    </font>
    <font>
      <sz val="11"/>
      <color rgb="FFFF0000"/>
      <name val="Calibri"/>
      <scheme val="minor"/>
    </font>
    <font>
      <b/>
      <sz val="11"/>
      <color theme="0"/>
      <name val="Calibri"/>
      <scheme val="minor"/>
    </font>
    <font>
      <b/>
      <sz val="11"/>
      <name val="Calibri"/>
      <scheme val="minor"/>
    </font>
    <font>
      <b/>
      <sz val="14"/>
      <name val="Calibri"/>
      <scheme val="minor"/>
    </font>
    <font>
      <b/>
      <u/>
      <sz val="11"/>
      <name val="Calibri"/>
      <scheme val="minor"/>
    </font>
    <font>
      <b/>
      <sz val="14"/>
      <color rgb="FF0000FF"/>
      <name val="Arial"/>
    </font>
    <font>
      <b/>
      <sz val="14"/>
      <name val="Arial"/>
    </font>
    <font>
      <u/>
      <sz val="14"/>
      <color theme="10"/>
      <name val="Arial"/>
    </font>
    <font>
      <sz val="14"/>
      <name val="Arial"/>
    </font>
    <font>
      <b/>
      <i/>
      <sz val="14"/>
      <color theme="3" tint="0.39997558519241921"/>
      <name val="Arial"/>
    </font>
    <font>
      <sz val="9"/>
      <color rgb="FFFF0000"/>
      <name val="Calibri"/>
      <scheme val="minor"/>
    </font>
    <font>
      <vertAlign val="superscript"/>
      <sz val="9"/>
      <color rgb="FFFF0000"/>
      <name val="Calibri"/>
      <scheme val="minor"/>
    </font>
  </fonts>
  <fills count="16">
    <fill>
      <patternFill patternType="none"/>
    </fill>
    <fill>
      <patternFill patternType="gray125"/>
    </fill>
    <fill>
      <patternFill patternType="solid">
        <fgColor indexed="63"/>
        <bgColor indexed="64"/>
      </patternFill>
    </fill>
    <fill>
      <patternFill patternType="solid">
        <fgColor indexed="8"/>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6600"/>
        <bgColor indexed="64"/>
      </patternFill>
    </fill>
    <fill>
      <patternFill patternType="solid">
        <fgColor theme="0" tint="-0.14999847407452621"/>
        <bgColor indexed="64"/>
      </patternFill>
    </fill>
    <fill>
      <patternFill patternType="solid">
        <fgColor theme="9"/>
        <bgColor indexed="64"/>
      </patternFill>
    </fill>
    <fill>
      <patternFill patternType="solid">
        <fgColor rgb="FF0000FF"/>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0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bottom style="double">
        <color auto="1"/>
      </bottom>
      <diagonal/>
    </border>
    <border>
      <left style="medium">
        <color auto="1"/>
      </left>
      <right/>
      <top/>
      <bottom style="medium">
        <color auto="1"/>
      </bottom>
      <diagonal/>
    </border>
    <border>
      <left/>
      <right style="medium">
        <color auto="1"/>
      </right>
      <top/>
      <bottom style="medium">
        <color auto="1"/>
      </bottom>
      <diagonal/>
    </border>
  </borders>
  <cellStyleXfs count="19">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0" fillId="0" borderId="0"/>
    <xf numFmtId="44" fontId="2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cellStyleXfs>
  <cellXfs count="184">
    <xf numFmtId="0" fontId="0" fillId="0" borderId="0" xfId="0"/>
    <xf numFmtId="9" fontId="5" fillId="0" borderId="0" xfId="3" applyFont="1" applyFill="1" applyAlignment="1" applyProtection="1">
      <alignment horizontal="center"/>
      <protection locked="0"/>
    </xf>
    <xf numFmtId="166" fontId="5" fillId="7" borderId="0" xfId="3" applyNumberFormat="1" applyFont="1" applyFill="1" applyAlignment="1" applyProtection="1">
      <alignment horizontal="center"/>
      <protection locked="0"/>
    </xf>
    <xf numFmtId="0" fontId="0" fillId="6" borderId="0" xfId="0" applyFill="1"/>
    <xf numFmtId="0" fontId="5" fillId="10" borderId="0" xfId="0" applyFont="1" applyFill="1" applyAlignment="1">
      <alignment horizontal="right" vertical="top"/>
    </xf>
    <xf numFmtId="0" fontId="0" fillId="6" borderId="0" xfId="0" applyFont="1" applyFill="1"/>
    <xf numFmtId="0" fontId="5" fillId="6" borderId="0" xfId="0" applyFont="1" applyFill="1" applyAlignment="1">
      <alignment horizontal="center"/>
    </xf>
    <xf numFmtId="0" fontId="5" fillId="6" borderId="0" xfId="0" applyFont="1" applyFill="1"/>
    <xf numFmtId="0" fontId="11" fillId="7" borderId="0" xfId="0" applyFont="1" applyFill="1" applyProtection="1"/>
    <xf numFmtId="0" fontId="0" fillId="0" borderId="0" xfId="0" applyProtection="1"/>
    <xf numFmtId="0" fontId="5" fillId="13" borderId="0" xfId="0" applyFont="1" applyFill="1" applyProtection="1"/>
    <xf numFmtId="0" fontId="5" fillId="0" borderId="0" xfId="0" applyFont="1" applyProtection="1"/>
    <xf numFmtId="0" fontId="5" fillId="0" borderId="0" xfId="0" applyNumberFormat="1" applyFont="1" applyProtection="1"/>
    <xf numFmtId="0" fontId="0" fillId="13" borderId="0" xfId="0" applyFill="1" applyProtection="1"/>
    <xf numFmtId="168" fontId="0" fillId="0" borderId="0" xfId="2" applyNumberFormat="1" applyFont="1" applyProtection="1"/>
    <xf numFmtId="10" fontId="0" fillId="13" borderId="0" xfId="0" applyNumberFormat="1" applyFill="1" applyProtection="1"/>
    <xf numFmtId="164" fontId="0" fillId="0" borderId="0" xfId="2" applyFont="1" applyProtection="1"/>
    <xf numFmtId="164" fontId="0" fillId="13" borderId="0" xfId="2" applyFont="1" applyFill="1" applyProtection="1"/>
    <xf numFmtId="0" fontId="0" fillId="9" borderId="0" xfId="0" applyFill="1" applyProtection="1"/>
    <xf numFmtId="168" fontId="0" fillId="9" borderId="0" xfId="2" applyNumberFormat="1" applyFont="1" applyFill="1" applyProtection="1"/>
    <xf numFmtId="164" fontId="0" fillId="9" borderId="0" xfId="2" applyFont="1" applyFill="1" applyProtection="1"/>
    <xf numFmtId="0" fontId="5" fillId="6" borderId="0" xfId="0" applyFont="1" applyFill="1" applyAlignment="1">
      <alignment vertical="top" wrapText="1"/>
    </xf>
    <xf numFmtId="0" fontId="0" fillId="6" borderId="0" xfId="0" applyFill="1" applyProtection="1">
      <protection locked="0"/>
    </xf>
    <xf numFmtId="165" fontId="0" fillId="6" borderId="0" xfId="1" applyFont="1" applyFill="1" applyProtection="1">
      <protection locked="0"/>
    </xf>
    <xf numFmtId="0" fontId="0" fillId="6" borderId="0" xfId="0" applyFill="1" applyAlignment="1" applyProtection="1">
      <alignment horizontal="left"/>
      <protection locked="0"/>
    </xf>
    <xf numFmtId="0" fontId="4" fillId="3" borderId="0" xfId="0" applyFont="1" applyFill="1" applyAlignment="1" applyProtection="1">
      <alignment horizontal="center"/>
      <protection locked="0"/>
    </xf>
    <xf numFmtId="165" fontId="4" fillId="3" borderId="0" xfId="1" applyFont="1" applyFill="1" applyAlignment="1" applyProtection="1">
      <alignment horizontal="center"/>
      <protection locked="0"/>
    </xf>
    <xf numFmtId="0" fontId="4" fillId="3" borderId="0" xfId="0" applyFont="1" applyFill="1" applyAlignment="1" applyProtection="1">
      <alignment horizontal="left"/>
      <protection locked="0"/>
    </xf>
    <xf numFmtId="0" fontId="14" fillId="2" borderId="0" xfId="0" applyFont="1" applyFill="1" applyAlignment="1" applyProtection="1">
      <alignment horizontal="right"/>
      <protection locked="0"/>
    </xf>
    <xf numFmtId="0" fontId="0" fillId="0" borderId="0" xfId="0" applyProtection="1">
      <protection locked="0"/>
    </xf>
    <xf numFmtId="0" fontId="1" fillId="0" borderId="0" xfId="0" applyFont="1" applyFill="1" applyProtection="1">
      <protection locked="0"/>
    </xf>
    <xf numFmtId="168" fontId="5" fillId="7" borderId="0" xfId="2" applyNumberFormat="1" applyFont="1" applyFill="1" applyAlignment="1" applyProtection="1">
      <alignment horizontal="center"/>
      <protection locked="0"/>
    </xf>
    <xf numFmtId="0" fontId="6" fillId="2" borderId="0" xfId="0" applyFont="1" applyFill="1" applyAlignment="1" applyProtection="1">
      <alignment horizontal="right"/>
      <protection locked="0"/>
    </xf>
    <xf numFmtId="168" fontId="5" fillId="7" borderId="0" xfId="2" applyNumberFormat="1" applyFont="1" applyFill="1" applyAlignment="1" applyProtection="1">
      <alignment horizontal="left"/>
      <protection locked="0"/>
    </xf>
    <xf numFmtId="0" fontId="6" fillId="2" borderId="0" xfId="0" applyFont="1" applyFill="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center"/>
      <protection locked="0"/>
    </xf>
    <xf numFmtId="0" fontId="8" fillId="0" borderId="0" xfId="0" applyFont="1" applyFill="1" applyAlignment="1" applyProtection="1">
      <alignment horizontal="left"/>
      <protection locked="0"/>
    </xf>
    <xf numFmtId="0" fontId="3" fillId="0" borderId="0" xfId="0" applyFont="1" applyFill="1" applyProtection="1">
      <protection locked="0"/>
    </xf>
    <xf numFmtId="0" fontId="9" fillId="0" borderId="0" xfId="0" applyFont="1" applyFill="1" applyProtection="1">
      <protection locked="0"/>
    </xf>
    <xf numFmtId="9" fontId="3" fillId="0" borderId="0" xfId="3" applyFont="1" applyFill="1" applyProtection="1">
      <protection locked="0"/>
    </xf>
    <xf numFmtId="168" fontId="6" fillId="2" borderId="0" xfId="2" applyNumberFormat="1" applyFont="1" applyFill="1" applyAlignment="1" applyProtection="1">
      <alignment horizontal="center"/>
      <protection locked="0"/>
    </xf>
    <xf numFmtId="10" fontId="10" fillId="0" borderId="0" xfId="0" applyNumberFormat="1" applyFont="1" applyFill="1" applyProtection="1">
      <protection locked="0"/>
    </xf>
    <xf numFmtId="168" fontId="13" fillId="0" borderId="0" xfId="2" applyNumberFormat="1" applyFont="1" applyFill="1" applyProtection="1">
      <protection locked="0"/>
    </xf>
    <xf numFmtId="10" fontId="5" fillId="7" borderId="0" xfId="3" applyNumberFormat="1" applyFont="1" applyFill="1" applyAlignment="1" applyProtection="1">
      <alignment horizontal="center"/>
      <protection locked="0"/>
    </xf>
    <xf numFmtId="0" fontId="7" fillId="4" borderId="0" xfId="0" applyFont="1" applyFill="1" applyAlignment="1" applyProtection="1">
      <alignment horizontal="center"/>
      <protection locked="0"/>
    </xf>
    <xf numFmtId="0" fontId="7" fillId="4" borderId="0" xfId="0" applyFont="1" applyFill="1" applyAlignment="1" applyProtection="1">
      <alignment horizontal="left"/>
      <protection locked="0"/>
    </xf>
    <xf numFmtId="0" fontId="0" fillId="0" borderId="0" xfId="0" applyAlignment="1" applyProtection="1">
      <alignment horizontal="center"/>
      <protection locked="0"/>
    </xf>
    <xf numFmtId="0" fontId="6" fillId="2" borderId="0" xfId="0" applyFont="1" applyFill="1" applyAlignment="1" applyProtection="1">
      <alignment horizontal="left"/>
      <protection locked="0"/>
    </xf>
    <xf numFmtId="168" fontId="0" fillId="0" borderId="0" xfId="2" applyNumberFormat="1" applyFont="1" applyProtection="1">
      <protection locked="0"/>
    </xf>
    <xf numFmtId="0" fontId="5" fillId="0" borderId="0" xfId="0" applyFont="1" applyProtection="1">
      <protection locked="0"/>
    </xf>
    <xf numFmtId="2" fontId="6" fillId="2" borderId="0" xfId="0" applyNumberFormat="1" applyFont="1" applyFill="1" applyAlignment="1" applyProtection="1">
      <alignment horizontal="center"/>
      <protection locked="0"/>
    </xf>
    <xf numFmtId="9" fontId="5" fillId="7" borderId="0" xfId="3" applyFont="1" applyFill="1" applyAlignment="1" applyProtection="1">
      <alignment horizontal="center"/>
      <protection locked="0"/>
    </xf>
    <xf numFmtId="0" fontId="0" fillId="0" borderId="0" xfId="0" applyFill="1" applyAlignment="1" applyProtection="1">
      <alignment horizontal="right"/>
      <protection locked="0"/>
    </xf>
    <xf numFmtId="164" fontId="0" fillId="0" borderId="0" xfId="2" applyFont="1" applyFill="1" applyProtection="1">
      <protection locked="0"/>
    </xf>
    <xf numFmtId="168" fontId="0" fillId="0" borderId="0" xfId="2" applyNumberFormat="1" applyFont="1" applyFill="1" applyProtection="1">
      <protection locked="0"/>
    </xf>
    <xf numFmtId="0" fontId="0" fillId="0" borderId="0" xfId="0" applyFill="1" applyProtection="1">
      <protection locked="0"/>
    </xf>
    <xf numFmtId="164" fontId="5" fillId="0" borderId="0" xfId="2" applyFont="1" applyFill="1" applyProtection="1">
      <protection locked="0"/>
    </xf>
    <xf numFmtId="168" fontId="5" fillId="0" borderId="0" xfId="2" applyNumberFormat="1" applyFont="1" applyFill="1" applyProtection="1">
      <protection locked="0"/>
    </xf>
    <xf numFmtId="164" fontId="0" fillId="0" borderId="0" xfId="2" applyFont="1" applyProtection="1">
      <protection locked="0"/>
    </xf>
    <xf numFmtId="164" fontId="11" fillId="0" borderId="0" xfId="2" applyFont="1" applyFill="1" applyProtection="1">
      <protection locked="0"/>
    </xf>
    <xf numFmtId="0" fontId="5" fillId="0" borderId="0" xfId="0" applyFont="1" applyFill="1" applyAlignment="1" applyProtection="1">
      <alignment horizontal="right"/>
      <protection locked="0"/>
    </xf>
    <xf numFmtId="168" fontId="9" fillId="0" borderId="0" xfId="0" applyNumberFormat="1" applyFont="1" applyFill="1" applyProtection="1">
      <protection locked="0"/>
    </xf>
    <xf numFmtId="169" fontId="7" fillId="4" borderId="0" xfId="1" applyNumberFormat="1" applyFont="1" applyFill="1" applyAlignment="1" applyProtection="1">
      <alignment horizontal="center"/>
      <protection locked="0"/>
    </xf>
    <xf numFmtId="169" fontId="7" fillId="0" borderId="0" xfId="1" applyNumberFormat="1" applyFont="1" applyFill="1" applyAlignment="1" applyProtection="1">
      <alignment horizontal="center"/>
      <protection locked="0"/>
    </xf>
    <xf numFmtId="0" fontId="5" fillId="2"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0" fontId="6" fillId="0" borderId="0" xfId="0" applyFont="1" applyFill="1" applyAlignment="1" applyProtection="1">
      <alignment horizontal="left"/>
      <protection locked="0"/>
    </xf>
    <xf numFmtId="0" fontId="5" fillId="0" borderId="0" xfId="0" applyFont="1" applyFill="1" applyAlignment="1" applyProtection="1">
      <alignment horizontal="center"/>
      <protection locked="0"/>
    </xf>
    <xf numFmtId="167" fontId="0" fillId="0" borderId="0" xfId="0" applyNumberFormat="1" applyFill="1" applyAlignment="1" applyProtection="1">
      <alignment horizontal="center"/>
      <protection locked="0"/>
    </xf>
    <xf numFmtId="167" fontId="0" fillId="6" borderId="0" xfId="0" applyNumberFormat="1" applyFill="1" applyAlignment="1" applyProtection="1">
      <alignment horizontal="center"/>
      <protection locked="0"/>
    </xf>
    <xf numFmtId="165" fontId="0" fillId="0" borderId="0" xfId="1" applyFont="1" applyProtection="1">
      <protection locked="0"/>
    </xf>
    <xf numFmtId="0" fontId="0" fillId="0" borderId="0" xfId="0" applyAlignment="1" applyProtection="1">
      <alignment horizontal="left"/>
      <protection locked="0"/>
    </xf>
    <xf numFmtId="0" fontId="0" fillId="6" borderId="0" xfId="0" applyFill="1" applyProtection="1"/>
    <xf numFmtId="0" fontId="26" fillId="6" borderId="0" xfId="6" applyFont="1" applyFill="1" applyAlignment="1" applyProtection="1">
      <alignment horizontal="center"/>
    </xf>
    <xf numFmtId="0" fontId="14" fillId="2" borderId="0" xfId="0" applyFont="1" applyFill="1" applyAlignment="1" applyProtection="1">
      <alignment horizontal="right"/>
    </xf>
    <xf numFmtId="0" fontId="14" fillId="8" borderId="0" xfId="0" applyFont="1" applyFill="1" applyAlignment="1" applyProtection="1">
      <alignment horizontal="right"/>
    </xf>
    <xf numFmtId="168" fontId="14" fillId="8" borderId="0" xfId="2" applyNumberFormat="1" applyFont="1" applyFill="1" applyAlignment="1" applyProtection="1">
      <alignment horizontal="left"/>
    </xf>
    <xf numFmtId="9" fontId="14" fillId="8" borderId="0" xfId="3" applyFont="1" applyFill="1" applyAlignment="1" applyProtection="1">
      <alignment horizontal="center"/>
    </xf>
    <xf numFmtId="168" fontId="14" fillId="8" borderId="0" xfId="2" applyNumberFormat="1" applyFont="1" applyFill="1" applyAlignment="1" applyProtection="1">
      <alignment horizontal="center"/>
    </xf>
    <xf numFmtId="0" fontId="6" fillId="2" borderId="0" xfId="0" applyFont="1" applyFill="1" applyAlignment="1" applyProtection="1">
      <alignment horizontal="right"/>
    </xf>
    <xf numFmtId="10" fontId="14" fillId="9" borderId="0" xfId="0" applyNumberFormat="1" applyFont="1" applyFill="1" applyAlignment="1" applyProtection="1">
      <alignment horizontal="center"/>
    </xf>
    <xf numFmtId="168" fontId="14" fillId="9" borderId="0" xfId="2" applyNumberFormat="1" applyFont="1" applyFill="1" applyAlignment="1" applyProtection="1"/>
    <xf numFmtId="0" fontId="4" fillId="2" borderId="0" xfId="0" applyFont="1" applyFill="1" applyProtection="1"/>
    <xf numFmtId="165" fontId="4" fillId="2" borderId="0" xfId="1" applyFont="1" applyFill="1" applyProtection="1"/>
    <xf numFmtId="165" fontId="4" fillId="2" borderId="0" xfId="0" applyNumberFormat="1" applyFont="1" applyFill="1" applyAlignment="1" applyProtection="1">
      <alignment horizontal="left"/>
    </xf>
    <xf numFmtId="43" fontId="4" fillId="2" borderId="0" xfId="0" applyNumberFormat="1" applyFont="1" applyFill="1" applyProtection="1"/>
    <xf numFmtId="0" fontId="5" fillId="0" borderId="1" xfId="0" applyFont="1" applyBorder="1" applyAlignment="1" applyProtection="1">
      <alignment horizontal="right"/>
    </xf>
    <xf numFmtId="165" fontId="5" fillId="0" borderId="1" xfId="1" applyFont="1" applyBorder="1" applyAlignment="1" applyProtection="1">
      <alignment horizontal="center"/>
    </xf>
    <xf numFmtId="0" fontId="5" fillId="0" borderId="1" xfId="0" applyFont="1" applyBorder="1" applyAlignment="1" applyProtection="1">
      <alignment horizontal="center"/>
    </xf>
    <xf numFmtId="0" fontId="0" fillId="10" borderId="1" xfId="0" applyFill="1" applyBorder="1" applyAlignment="1" applyProtection="1">
      <alignment horizontal="right"/>
    </xf>
    <xf numFmtId="168" fontId="0" fillId="0" borderId="1" xfId="2" applyNumberFormat="1" applyFont="1" applyBorder="1" applyProtection="1"/>
    <xf numFmtId="168" fontId="0" fillId="0" borderId="1" xfId="2" applyNumberFormat="1" applyFont="1" applyBorder="1" applyAlignment="1" applyProtection="1">
      <alignment horizontal="left"/>
    </xf>
    <xf numFmtId="0" fontId="5" fillId="11" borderId="1" xfId="0" applyFont="1" applyFill="1" applyBorder="1" applyAlignment="1" applyProtection="1">
      <alignment horizontal="right"/>
    </xf>
    <xf numFmtId="168" fontId="5" fillId="11" borderId="1" xfId="2" applyNumberFormat="1" applyFont="1" applyFill="1" applyBorder="1" applyProtection="1"/>
    <xf numFmtId="168" fontId="5" fillId="11" borderId="1" xfId="2" applyNumberFormat="1" applyFont="1" applyFill="1" applyBorder="1" applyAlignment="1" applyProtection="1">
      <alignment horizontal="left"/>
    </xf>
    <xf numFmtId="0" fontId="5" fillId="0" borderId="1" xfId="0" applyFont="1" applyBorder="1" applyProtection="1"/>
    <xf numFmtId="168" fontId="0" fillId="0" borderId="1" xfId="2" applyNumberFormat="1" applyFont="1" applyFill="1" applyBorder="1" applyAlignment="1" applyProtection="1">
      <alignment horizontal="left"/>
    </xf>
    <xf numFmtId="168" fontId="0" fillId="0" borderId="1" xfId="2" applyNumberFormat="1" applyFont="1" applyFill="1" applyBorder="1" applyProtection="1"/>
    <xf numFmtId="0" fontId="5" fillId="10" borderId="1" xfId="0" applyFont="1" applyFill="1" applyBorder="1" applyAlignment="1" applyProtection="1">
      <alignment horizontal="right"/>
    </xf>
    <xf numFmtId="168" fontId="5" fillId="0" borderId="1" xfId="2" applyNumberFormat="1" applyFont="1" applyBorder="1" applyProtection="1"/>
    <xf numFmtId="168" fontId="5" fillId="0" borderId="1" xfId="2" applyNumberFormat="1" applyFont="1" applyBorder="1" applyAlignment="1" applyProtection="1">
      <alignment horizontal="left"/>
    </xf>
    <xf numFmtId="0" fontId="14" fillId="12" borderId="1" xfId="0" applyFont="1" applyFill="1" applyBorder="1" applyAlignment="1" applyProtection="1">
      <alignment horizontal="right"/>
    </xf>
    <xf numFmtId="168" fontId="14" fillId="12" borderId="1" xfId="2" applyNumberFormat="1" applyFont="1" applyFill="1" applyBorder="1" applyProtection="1"/>
    <xf numFmtId="168" fontId="14" fillId="12" borderId="1" xfId="2" applyNumberFormat="1" applyFont="1" applyFill="1" applyBorder="1" applyAlignment="1" applyProtection="1">
      <alignment horizontal="left"/>
    </xf>
    <xf numFmtId="0" fontId="0" fillId="0" borderId="2" xfId="0" applyBorder="1" applyProtection="1"/>
    <xf numFmtId="165" fontId="0" fillId="0" borderId="0" xfId="1" applyFont="1" applyBorder="1" applyProtection="1"/>
    <xf numFmtId="0" fontId="0" fillId="0" borderId="0" xfId="0" applyBorder="1" applyAlignment="1" applyProtection="1">
      <alignment horizontal="left"/>
    </xf>
    <xf numFmtId="0" fontId="0" fillId="0" borderId="0" xfId="0" applyBorder="1" applyProtection="1"/>
    <xf numFmtId="0" fontId="3" fillId="5" borderId="2" xfId="0" applyFont="1" applyFill="1" applyBorder="1" applyAlignment="1" applyProtection="1">
      <alignment horizontal="right"/>
    </xf>
    <xf numFmtId="164" fontId="3" fillId="5" borderId="0" xfId="2" applyFont="1" applyFill="1" applyAlignment="1" applyProtection="1">
      <alignment horizontal="left"/>
    </xf>
    <xf numFmtId="164" fontId="3" fillId="0" borderId="0" xfId="2" applyFont="1" applyFill="1" applyAlignment="1" applyProtection="1">
      <alignment horizontal="left"/>
    </xf>
    <xf numFmtId="167" fontId="12" fillId="0" borderId="0" xfId="0" applyNumberFormat="1" applyFont="1" applyFill="1" applyBorder="1" applyAlignment="1" applyProtection="1">
      <alignment horizontal="left"/>
    </xf>
    <xf numFmtId="164" fontId="3" fillId="0" borderId="0" xfId="2" applyFont="1" applyFill="1" applyAlignment="1" applyProtection="1">
      <alignment horizontal="center"/>
    </xf>
    <xf numFmtId="164" fontId="12" fillId="0" borderId="0" xfId="2" applyFont="1" applyFill="1" applyAlignment="1" applyProtection="1">
      <alignment horizontal="center"/>
    </xf>
    <xf numFmtId="0" fontId="4" fillId="2" borderId="0" xfId="0" applyFont="1" applyFill="1" applyAlignment="1" applyProtection="1">
      <alignment horizontal="left"/>
    </xf>
    <xf numFmtId="0" fontId="0" fillId="0" borderId="1" xfId="0" applyBorder="1" applyAlignment="1" applyProtection="1">
      <alignment horizontal="right"/>
    </xf>
    <xf numFmtId="165" fontId="0" fillId="0" borderId="1" xfId="1" applyFont="1" applyBorder="1" applyProtection="1"/>
    <xf numFmtId="0" fontId="0" fillId="0" borderId="1" xfId="0" applyFill="1" applyBorder="1" applyAlignment="1" applyProtection="1">
      <alignment horizontal="right"/>
    </xf>
    <xf numFmtId="165" fontId="0" fillId="0" borderId="0" xfId="1" applyFont="1" applyProtection="1"/>
    <xf numFmtId="0" fontId="0" fillId="0" borderId="0" xfId="0" applyAlignment="1" applyProtection="1">
      <alignment horizontal="left"/>
    </xf>
    <xf numFmtId="0" fontId="0" fillId="0" borderId="1" xfId="0" applyBorder="1" applyProtection="1"/>
    <xf numFmtId="9" fontId="0" fillId="0" borderId="1" xfId="3" applyFont="1" applyBorder="1" applyAlignment="1" applyProtection="1">
      <alignment horizontal="center"/>
    </xf>
    <xf numFmtId="0" fontId="7" fillId="4" borderId="0" xfId="0" applyFont="1" applyFill="1" applyAlignment="1" applyProtection="1">
      <alignment horizontal="center"/>
    </xf>
    <xf numFmtId="10" fontId="7" fillId="4" borderId="0" xfId="3" applyNumberFormat="1" applyFont="1" applyFill="1" applyAlignment="1" applyProtection="1">
      <alignment horizontal="center"/>
    </xf>
    <xf numFmtId="0" fontId="7" fillId="4" borderId="0" xfId="0" applyFont="1" applyFill="1" applyAlignment="1" applyProtection="1">
      <alignment horizontal="left"/>
    </xf>
    <xf numFmtId="0" fontId="20" fillId="0" borderId="0" xfId="6" applyProtection="1"/>
    <xf numFmtId="0" fontId="22" fillId="0" borderId="0" xfId="6" applyFont="1" applyProtection="1"/>
    <xf numFmtId="170" fontId="0" fillId="0" borderId="0" xfId="7" applyNumberFormat="1" applyFont="1" applyFill="1" applyProtection="1"/>
    <xf numFmtId="170" fontId="0" fillId="0" borderId="3" xfId="7" applyNumberFormat="1" applyFont="1" applyBorder="1" applyProtection="1"/>
    <xf numFmtId="170" fontId="27" fillId="0" borderId="0" xfId="7" applyNumberFormat="1" applyFont="1" applyProtection="1"/>
    <xf numFmtId="164" fontId="20" fillId="0" borderId="0" xfId="2" applyFont="1" applyProtection="1"/>
    <xf numFmtId="170" fontId="0" fillId="0" borderId="0" xfId="7" applyNumberFormat="1" applyFont="1" applyProtection="1"/>
    <xf numFmtId="171" fontId="0" fillId="0" borderId="0" xfId="7" applyNumberFormat="1" applyFont="1" applyFill="1" applyProtection="1"/>
    <xf numFmtId="0" fontId="23" fillId="0" borderId="0" xfId="6" applyFont="1" applyProtection="1"/>
    <xf numFmtId="0" fontId="20" fillId="0" borderId="0" xfId="6" applyAlignment="1" applyProtection="1">
      <alignment horizontal="right"/>
    </xf>
    <xf numFmtId="170" fontId="0" fillId="0" borderId="0" xfId="7" applyNumberFormat="1" applyFont="1" applyBorder="1" applyProtection="1"/>
    <xf numFmtId="170" fontId="24" fillId="0" borderId="0" xfId="7" applyNumberFormat="1" applyFont="1" applyProtection="1"/>
    <xf numFmtId="170" fontId="27" fillId="0" borderId="3" xfId="7" applyNumberFormat="1" applyFont="1" applyBorder="1" applyProtection="1"/>
    <xf numFmtId="170" fontId="25" fillId="0" borderId="0" xfId="7" applyNumberFormat="1" applyFont="1" applyFill="1" applyProtection="1"/>
    <xf numFmtId="170" fontId="18" fillId="0" borderId="9" xfId="7" applyNumberFormat="1" applyFont="1" applyBorder="1" applyProtection="1"/>
    <xf numFmtId="0" fontId="18" fillId="7" borderId="0" xfId="6" applyFont="1" applyFill="1" applyAlignment="1" applyProtection="1">
      <alignment horizontal="center"/>
      <protection locked="0"/>
    </xf>
    <xf numFmtId="170" fontId="0" fillId="7" borderId="0" xfId="7" applyNumberFormat="1" applyFont="1" applyFill="1" applyProtection="1">
      <protection locked="0"/>
    </xf>
    <xf numFmtId="170" fontId="0" fillId="7" borderId="3" xfId="7" applyNumberFormat="1" applyFont="1" applyFill="1" applyBorder="1" applyProtection="1">
      <protection locked="0"/>
    </xf>
    <xf numFmtId="168" fontId="0" fillId="7" borderId="0" xfId="2" applyNumberFormat="1" applyFont="1" applyFill="1" applyProtection="1"/>
    <xf numFmtId="168" fontId="0" fillId="0" borderId="0" xfId="2" applyNumberFormat="1" applyFont="1" applyFill="1" applyProtection="1"/>
    <xf numFmtId="0" fontId="27" fillId="15" borderId="0" xfId="6" applyFont="1" applyFill="1" applyAlignment="1" applyProtection="1">
      <alignment horizontal="center"/>
    </xf>
    <xf numFmtId="168" fontId="0" fillId="0" borderId="1" xfId="2" applyNumberFormat="1" applyFont="1" applyBorder="1" applyAlignment="1" applyProtection="1">
      <alignment horizontal="left"/>
      <protection locked="0"/>
    </xf>
    <xf numFmtId="168" fontId="0" fillId="0" borderId="1" xfId="2" applyNumberFormat="1" applyFont="1" applyBorder="1" applyProtection="1">
      <protection locked="0"/>
    </xf>
    <xf numFmtId="168" fontId="1" fillId="0" borderId="1" xfId="2" applyNumberFormat="1" applyFont="1" applyBorder="1" applyAlignment="1" applyProtection="1">
      <alignment horizontal="left"/>
    </xf>
    <xf numFmtId="0" fontId="4" fillId="3" borderId="0" xfId="0" applyFont="1" applyFill="1" applyAlignment="1" applyProtection="1">
      <alignment horizontal="right"/>
      <protection locked="0"/>
    </xf>
    <xf numFmtId="167" fontId="0" fillId="0" borderId="0" xfId="0" applyNumberFormat="1" applyFont="1" applyFill="1" applyAlignment="1" applyProtection="1">
      <alignment horizontal="center"/>
      <protection locked="0"/>
    </xf>
    <xf numFmtId="164" fontId="0" fillId="0" borderId="0" xfId="2" applyFont="1" applyFill="1" applyAlignment="1" applyProtection="1">
      <alignment horizontal="center"/>
    </xf>
    <xf numFmtId="167" fontId="0" fillId="6" borderId="0" xfId="0" applyNumberFormat="1" applyFont="1" applyFill="1" applyAlignment="1" applyProtection="1">
      <alignment horizontal="center"/>
      <protection locked="0"/>
    </xf>
    <xf numFmtId="167" fontId="0" fillId="0" borderId="1" xfId="0" applyNumberFormat="1" applyFont="1" applyFill="1" applyBorder="1" applyAlignment="1" applyProtection="1">
      <alignment horizontal="right"/>
    </xf>
    <xf numFmtId="164" fontId="0" fillId="0" borderId="1" xfId="2" applyFont="1" applyFill="1" applyBorder="1" applyAlignment="1" applyProtection="1">
      <alignment horizontal="center"/>
    </xf>
    <xf numFmtId="44" fontId="0" fillId="0" borderId="1" xfId="2" applyNumberFormat="1" applyFont="1" applyFill="1" applyBorder="1" applyAlignment="1" applyProtection="1">
      <alignment horizontal="center"/>
    </xf>
    <xf numFmtId="0" fontId="33" fillId="0" borderId="0" xfId="0" applyFont="1" applyAlignment="1">
      <alignment horizontal="center" vertical="center"/>
    </xf>
    <xf numFmtId="0" fontId="31" fillId="6" borderId="0" xfId="0" applyFont="1" applyFill="1" applyAlignment="1">
      <alignment horizontal="center" vertical="center"/>
    </xf>
    <xf numFmtId="0" fontId="0" fillId="0" borderId="0" xfId="0" applyAlignment="1">
      <alignment horizontal="center"/>
    </xf>
    <xf numFmtId="0" fontId="32" fillId="6" borderId="0" xfId="18" applyFont="1" applyFill="1" applyAlignment="1">
      <alignment horizontal="center" vertical="center"/>
    </xf>
    <xf numFmtId="0" fontId="35" fillId="0" borderId="0" xfId="0" applyFont="1"/>
    <xf numFmtId="170" fontId="0" fillId="7" borderId="0" xfId="7" applyNumberFormat="1" applyFont="1" applyFill="1" applyAlignment="1" applyProtection="1">
      <alignment horizontal="right"/>
      <protection locked="0"/>
    </xf>
    <xf numFmtId="168" fontId="0" fillId="0" borderId="0" xfId="0" applyNumberFormat="1" applyAlignment="1" applyProtection="1">
      <alignment horizontal="left"/>
      <protection locked="0"/>
    </xf>
    <xf numFmtId="0" fontId="30" fillId="6" borderId="0" xfId="0" applyFont="1" applyFill="1" applyAlignment="1">
      <alignment horizontal="center"/>
    </xf>
    <xf numFmtId="0" fontId="5" fillId="6" borderId="0" xfId="0" applyFont="1" applyFill="1" applyAlignment="1">
      <alignment horizontal="center" vertical="center"/>
    </xf>
    <xf numFmtId="0" fontId="5" fillId="15" borderId="0" xfId="0" applyFont="1" applyFill="1" applyAlignment="1">
      <alignment vertical="top" wrapText="1"/>
    </xf>
    <xf numFmtId="0" fontId="5" fillId="6" borderId="0" xfId="0" applyFont="1" applyFill="1" applyAlignment="1">
      <alignment horizontal="left" vertical="top" wrapText="1"/>
    </xf>
    <xf numFmtId="0" fontId="0" fillId="0" borderId="0" xfId="0" applyAlignment="1">
      <alignment horizontal="left" vertical="top" wrapText="1"/>
    </xf>
    <xf numFmtId="0" fontId="16" fillId="0" borderId="0" xfId="18" applyAlignment="1">
      <alignment horizontal="left" vertical="top" wrapText="1"/>
    </xf>
    <xf numFmtId="0" fontId="0" fillId="0" borderId="0" xfId="0" applyAlignment="1">
      <alignment horizontal="center" vertical="top" wrapText="1"/>
    </xf>
    <xf numFmtId="0" fontId="31" fillId="6" borderId="0" xfId="0" applyFont="1" applyFill="1" applyAlignment="1">
      <alignment horizontal="center"/>
    </xf>
    <xf numFmtId="0" fontId="32" fillId="6" borderId="0" xfId="18" applyFont="1" applyFill="1" applyAlignment="1">
      <alignment horizontal="center" vertical="center"/>
    </xf>
    <xf numFmtId="0" fontId="31" fillId="6" borderId="0" xfId="0" applyFont="1" applyFill="1" applyAlignment="1">
      <alignment horizontal="center" vertical="center"/>
    </xf>
    <xf numFmtId="0" fontId="14" fillId="2" borderId="0" xfId="0" applyFont="1" applyFill="1" applyAlignment="1" applyProtection="1">
      <alignment horizontal="right"/>
      <protection locked="0"/>
    </xf>
    <xf numFmtId="0" fontId="28" fillId="14" borderId="0" xfId="6" applyFont="1" applyFill="1" applyAlignment="1" applyProtection="1">
      <alignment horizontal="center"/>
    </xf>
    <xf numFmtId="0" fontId="27" fillId="15" borderId="0" xfId="6" applyFont="1" applyFill="1" applyAlignment="1" applyProtection="1">
      <alignment horizontal="center"/>
    </xf>
    <xf numFmtId="0" fontId="18" fillId="0" borderId="4" xfId="6" applyFont="1" applyBorder="1" applyAlignment="1" applyProtection="1">
      <alignment horizontal="center" vertical="center" wrapText="1"/>
    </xf>
    <xf numFmtId="0" fontId="18" fillId="0" borderId="5" xfId="6" applyFont="1" applyBorder="1" applyAlignment="1" applyProtection="1">
      <alignment horizontal="center" vertical="center" wrapText="1"/>
    </xf>
    <xf numFmtId="0" fontId="18" fillId="0" borderId="6" xfId="6" applyFont="1" applyBorder="1" applyAlignment="1" applyProtection="1">
      <alignment horizontal="center" vertical="center" wrapText="1"/>
    </xf>
    <xf numFmtId="0" fontId="22" fillId="15" borderId="7" xfId="6" applyFont="1" applyFill="1" applyBorder="1" applyAlignment="1" applyProtection="1">
      <alignment horizontal="center"/>
    </xf>
    <xf numFmtId="0" fontId="22" fillId="15" borderId="8" xfId="6" applyFont="1" applyFill="1" applyBorder="1" applyAlignment="1" applyProtection="1">
      <alignment horizontal="center"/>
    </xf>
    <xf numFmtId="2" fontId="21" fillId="15" borderId="10" xfId="7" applyNumberFormat="1" applyFont="1" applyFill="1" applyBorder="1" applyAlignment="1" applyProtection="1">
      <alignment horizontal="center"/>
    </xf>
    <xf numFmtId="2" fontId="21" fillId="15" borderId="11" xfId="7" applyNumberFormat="1" applyFont="1" applyFill="1" applyBorder="1" applyAlignment="1" applyProtection="1">
      <alignment horizontal="center"/>
    </xf>
  </cellXfs>
  <cellStyles count="19">
    <cellStyle name="Lien hypertexte" xfId="4"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cellStyle name="Lien hypertexte visité" xfId="5"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Milliers" xfId="1" builtinId="3"/>
    <cellStyle name="Monétaire" xfId="2" builtinId="4"/>
    <cellStyle name="Monétaire 2" xfId="7"/>
    <cellStyle name="Normal" xfId="0" builtinId="0"/>
    <cellStyle name="Normal 2" xfId="6"/>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160867</xdr:colOff>
      <xdr:row>1</xdr:row>
      <xdr:rowOff>25400</xdr:rowOff>
    </xdr:from>
    <xdr:to>
      <xdr:col>0</xdr:col>
      <xdr:colOff>1778000</xdr:colOff>
      <xdr:row>3</xdr:row>
      <xdr:rowOff>305803</xdr:rowOff>
    </xdr:to>
    <xdr:pic>
      <xdr:nvPicPr>
        <xdr:cNvPr id="2" name="Image 1" descr="Logo Préliminai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867" y="245533"/>
          <a:ext cx="1617133" cy="1042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110055</xdr:colOff>
      <xdr:row>0</xdr:row>
      <xdr:rowOff>0</xdr:rowOff>
    </xdr:from>
    <xdr:to>
      <xdr:col>1</xdr:col>
      <xdr:colOff>1566333</xdr:colOff>
      <xdr:row>4</xdr:row>
      <xdr:rowOff>278522</xdr:rowOff>
    </xdr:to>
    <xdr:pic>
      <xdr:nvPicPr>
        <xdr:cNvPr id="2" name="Image 1" descr="Logo Préliminai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055" y="0"/>
          <a:ext cx="1574811" cy="101512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euneinvestisseurimmobilier.com" TargetMode="External"/><Relationship Id="rId4" Type="http://schemas.openxmlformats.org/officeDocument/2006/relationships/drawing" Target="../drawings/drawing1.xml"/><Relationship Id="rId1" Type="http://schemas.openxmlformats.org/officeDocument/2006/relationships/hyperlink" Target="http://www.jeuneinvestisseurimmobilier.com/2011/11/mise-de-fonds-pour-acheter-un-immeuble.html" TargetMode="External"/><Relationship Id="rId2" Type="http://schemas.openxmlformats.org/officeDocument/2006/relationships/hyperlink" Target="http://www.impot.net/fr/immobilier/muta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35"/>
  <sheetViews>
    <sheetView tabSelected="1" zoomScale="125" zoomScaleNormal="125" zoomScalePageLayoutView="125" workbookViewId="0">
      <selection sqref="A1:G1"/>
    </sheetView>
  </sheetViews>
  <sheetFormatPr baseColWidth="10" defaultRowHeight="12" x14ac:dyDescent="0"/>
  <cols>
    <col min="1" max="1" width="49.33203125" bestFit="1" customWidth="1"/>
  </cols>
  <sheetData>
    <row r="1" spans="1:7" ht="17">
      <c r="A1" s="164" t="s">
        <v>171</v>
      </c>
      <c r="B1" s="164"/>
      <c r="C1" s="164"/>
      <c r="D1" s="164"/>
      <c r="E1" s="164"/>
      <c r="F1" s="164"/>
      <c r="G1" s="164"/>
    </row>
    <row r="2" spans="1:7" s="159" customFormat="1" ht="32" customHeight="1">
      <c r="A2" s="171" t="s">
        <v>155</v>
      </c>
      <c r="B2" s="171"/>
      <c r="C2" s="171"/>
      <c r="D2" s="171"/>
      <c r="E2" s="171"/>
      <c r="F2" s="171"/>
      <c r="G2" s="171"/>
    </row>
    <row r="3" spans="1:7" s="157" customFormat="1" ht="28" customHeight="1">
      <c r="A3" s="172" t="s">
        <v>154</v>
      </c>
      <c r="B3" s="173"/>
      <c r="C3" s="173"/>
      <c r="D3" s="173"/>
      <c r="E3" s="173"/>
      <c r="F3" s="173"/>
      <c r="G3" s="173"/>
    </row>
    <row r="4" spans="1:7" s="157" customFormat="1" ht="28" customHeight="1">
      <c r="A4" s="160"/>
      <c r="B4" s="158"/>
      <c r="C4" s="158"/>
      <c r="D4" s="158"/>
      <c r="E4" s="158"/>
      <c r="F4" s="158"/>
      <c r="G4" s="158"/>
    </row>
    <row r="5" spans="1:7">
      <c r="A5" s="3" t="s">
        <v>172</v>
      </c>
      <c r="B5" s="3"/>
      <c r="C5" s="3"/>
      <c r="D5" s="3"/>
      <c r="E5" s="3"/>
      <c r="F5" s="3"/>
      <c r="G5" s="3"/>
    </row>
    <row r="6" spans="1:7">
      <c r="A6" s="3" t="s">
        <v>135</v>
      </c>
      <c r="B6" s="3"/>
      <c r="C6" s="3"/>
      <c r="D6" s="3"/>
      <c r="E6" s="3"/>
      <c r="F6" s="3"/>
      <c r="G6" s="3"/>
    </row>
    <row r="7" spans="1:7">
      <c r="A7" s="3" t="s">
        <v>173</v>
      </c>
      <c r="B7" s="3"/>
      <c r="C7" s="3"/>
      <c r="D7" s="3"/>
      <c r="E7" s="3"/>
      <c r="F7" s="7"/>
      <c r="G7" s="3"/>
    </row>
    <row r="8" spans="1:7">
      <c r="A8" s="5" t="s">
        <v>136</v>
      </c>
      <c r="B8" s="3"/>
      <c r="C8" s="3"/>
      <c r="D8" s="3"/>
      <c r="E8" s="3"/>
      <c r="F8" s="3"/>
      <c r="G8" s="3"/>
    </row>
    <row r="9" spans="1:7">
      <c r="A9" s="5"/>
      <c r="B9" s="3"/>
      <c r="C9" s="3"/>
      <c r="D9" s="3"/>
      <c r="E9" s="3"/>
      <c r="F9" s="3"/>
      <c r="G9" s="3"/>
    </row>
    <row r="10" spans="1:7">
      <c r="A10" s="166" t="s">
        <v>169</v>
      </c>
      <c r="B10" s="166"/>
      <c r="C10" s="166"/>
      <c r="D10" s="166"/>
      <c r="E10" s="166"/>
      <c r="F10" s="166"/>
      <c r="G10" s="166"/>
    </row>
    <row r="11" spans="1:7" ht="29" customHeight="1">
      <c r="A11" s="166"/>
      <c r="B11" s="166"/>
      <c r="C11" s="166"/>
      <c r="D11" s="166"/>
      <c r="E11" s="166"/>
      <c r="F11" s="166"/>
      <c r="G11" s="166"/>
    </row>
    <row r="12" spans="1:7" ht="19" customHeight="1">
      <c r="A12" s="21"/>
      <c r="B12" s="21"/>
      <c r="C12" s="21"/>
      <c r="D12" s="21"/>
      <c r="E12" s="21"/>
      <c r="F12" s="21"/>
      <c r="G12" s="21"/>
    </row>
    <row r="13" spans="1:7" ht="42" customHeight="1">
      <c r="A13" s="167" t="s">
        <v>137</v>
      </c>
      <c r="B13" s="167"/>
      <c r="C13" s="167"/>
      <c r="D13" s="167"/>
      <c r="E13" s="167"/>
      <c r="F13" s="167"/>
      <c r="G13" s="167"/>
    </row>
    <row r="14" spans="1:7" ht="8" customHeight="1">
      <c r="A14" s="21"/>
      <c r="B14" s="21"/>
      <c r="C14" s="21"/>
      <c r="D14" s="21"/>
      <c r="E14" s="21"/>
      <c r="F14" s="21"/>
      <c r="G14" s="21"/>
    </row>
    <row r="15" spans="1:7">
      <c r="A15" t="s">
        <v>170</v>
      </c>
    </row>
    <row r="16" spans="1:7">
      <c r="A16" s="6"/>
      <c r="B16" s="3"/>
      <c r="C16" s="3"/>
      <c r="D16" s="3"/>
      <c r="E16" s="3"/>
      <c r="F16" s="3"/>
      <c r="G16" s="3"/>
    </row>
    <row r="17" spans="1:7" ht="27" customHeight="1">
      <c r="A17" s="165" t="s">
        <v>132</v>
      </c>
      <c r="B17" s="165"/>
      <c r="C17" s="165"/>
      <c r="D17" s="165"/>
      <c r="E17" s="165"/>
      <c r="F17" s="165"/>
      <c r="G17" s="165"/>
    </row>
    <row r="18" spans="1:7" ht="27" customHeight="1">
      <c r="A18" s="4" t="s">
        <v>59</v>
      </c>
      <c r="B18" s="168" t="s">
        <v>119</v>
      </c>
      <c r="C18" s="168"/>
      <c r="D18" s="168"/>
      <c r="E18" s="168"/>
      <c r="F18" s="168"/>
      <c r="G18" s="168"/>
    </row>
    <row r="19" spans="1:7" ht="22" customHeight="1">
      <c r="A19" s="4" t="s">
        <v>116</v>
      </c>
      <c r="B19" s="169" t="s">
        <v>120</v>
      </c>
      <c r="C19" s="169"/>
      <c r="D19" s="169"/>
      <c r="E19" s="169"/>
      <c r="F19" s="169"/>
      <c r="G19" s="169"/>
    </row>
    <row r="20" spans="1:7" ht="24" customHeight="1">
      <c r="A20" s="4" t="s">
        <v>117</v>
      </c>
      <c r="B20" s="170" t="s">
        <v>121</v>
      </c>
      <c r="C20" s="170"/>
      <c r="D20" s="170"/>
      <c r="E20" s="170"/>
      <c r="F20" s="170"/>
      <c r="G20" s="170"/>
    </row>
    <row r="21" spans="1:7" ht="31" customHeight="1">
      <c r="A21" s="4" t="s">
        <v>77</v>
      </c>
      <c r="B21" s="168" t="s">
        <v>141</v>
      </c>
      <c r="C21" s="168"/>
      <c r="D21" s="168"/>
      <c r="E21" s="168"/>
      <c r="F21" s="168"/>
      <c r="G21" s="168"/>
    </row>
    <row r="22" spans="1:7" ht="30" customHeight="1">
      <c r="A22" s="4" t="s">
        <v>62</v>
      </c>
      <c r="B22" s="169" t="s">
        <v>134</v>
      </c>
      <c r="C22" s="169"/>
      <c r="D22" s="169"/>
      <c r="E22" s="169"/>
      <c r="F22" s="169"/>
      <c r="G22" s="169"/>
    </row>
    <row r="23" spans="1:7" ht="22" customHeight="1">
      <c r="A23" s="4" t="s">
        <v>63</v>
      </c>
      <c r="B23" s="168" t="s">
        <v>122</v>
      </c>
      <c r="C23" s="168"/>
      <c r="D23" s="168"/>
      <c r="E23" s="168"/>
      <c r="F23" s="168"/>
      <c r="G23" s="168"/>
    </row>
    <row r="24" spans="1:7" ht="41" customHeight="1">
      <c r="A24" s="4" t="s">
        <v>64</v>
      </c>
      <c r="B24" s="168" t="s">
        <v>123</v>
      </c>
      <c r="C24" s="168"/>
      <c r="D24" s="168"/>
      <c r="E24" s="168"/>
      <c r="F24" s="168"/>
      <c r="G24" s="168"/>
    </row>
    <row r="25" spans="1:7" ht="22" customHeight="1">
      <c r="A25" s="4" t="s">
        <v>118</v>
      </c>
      <c r="B25" s="168" t="s">
        <v>124</v>
      </c>
      <c r="C25" s="168"/>
      <c r="D25" s="168"/>
      <c r="E25" s="168"/>
      <c r="F25" s="168"/>
      <c r="G25" s="168"/>
    </row>
    <row r="26" spans="1:7" ht="22" customHeight="1">
      <c r="A26" s="4" t="s">
        <v>67</v>
      </c>
      <c r="B26" s="168" t="s">
        <v>125</v>
      </c>
      <c r="C26" s="168"/>
      <c r="D26" s="168"/>
      <c r="E26" s="168"/>
      <c r="F26" s="168"/>
      <c r="G26" s="168"/>
    </row>
    <row r="27" spans="1:7" ht="22" customHeight="1">
      <c r="A27" s="4" t="s">
        <v>68</v>
      </c>
      <c r="B27" s="168" t="s">
        <v>126</v>
      </c>
      <c r="C27" s="168"/>
      <c r="D27" s="168"/>
      <c r="E27" s="168"/>
      <c r="F27" s="168"/>
      <c r="G27" s="168"/>
    </row>
    <row r="28" spans="1:7" ht="31" customHeight="1">
      <c r="A28" s="4" t="s">
        <v>66</v>
      </c>
      <c r="B28" s="168" t="s">
        <v>127</v>
      </c>
      <c r="C28" s="168"/>
      <c r="D28" s="168"/>
      <c r="E28" s="168"/>
      <c r="F28" s="168"/>
      <c r="G28" s="168"/>
    </row>
    <row r="29" spans="1:7" ht="31" customHeight="1">
      <c r="A29" s="4" t="s">
        <v>7</v>
      </c>
      <c r="B29" s="168" t="s">
        <v>128</v>
      </c>
      <c r="C29" s="168"/>
      <c r="D29" s="168"/>
      <c r="E29" s="168"/>
      <c r="F29" s="168"/>
      <c r="G29" s="168"/>
    </row>
    <row r="30" spans="1:7" ht="22" customHeight="1">
      <c r="A30" s="4" t="s">
        <v>50</v>
      </c>
      <c r="B30" s="168" t="s">
        <v>129</v>
      </c>
      <c r="C30" s="168"/>
      <c r="D30" s="168"/>
      <c r="E30" s="168"/>
      <c r="F30" s="168"/>
      <c r="G30" s="168"/>
    </row>
    <row r="31" spans="1:7" ht="22" customHeight="1">
      <c r="A31" s="4" t="s">
        <v>51</v>
      </c>
      <c r="B31" s="168" t="s">
        <v>130</v>
      </c>
      <c r="C31" s="168"/>
      <c r="D31" s="168"/>
      <c r="E31" s="168"/>
      <c r="F31" s="168"/>
      <c r="G31" s="168"/>
    </row>
    <row r="32" spans="1:7" ht="22" customHeight="1">
      <c r="A32" s="4" t="s">
        <v>70</v>
      </c>
      <c r="B32" s="168" t="s">
        <v>131</v>
      </c>
      <c r="C32" s="168"/>
      <c r="D32" s="168"/>
      <c r="E32" s="168"/>
      <c r="F32" s="168"/>
      <c r="G32" s="168"/>
    </row>
    <row r="33" spans="1:7" ht="67" customHeight="1">
      <c r="A33" s="4" t="s">
        <v>71</v>
      </c>
      <c r="B33" s="168" t="s">
        <v>139</v>
      </c>
      <c r="C33" s="168"/>
      <c r="D33" s="168"/>
      <c r="E33" s="168"/>
      <c r="F33" s="168"/>
      <c r="G33" s="168"/>
    </row>
    <row r="34" spans="1:7" ht="39" customHeight="1">
      <c r="A34" s="4" t="s">
        <v>133</v>
      </c>
      <c r="B34" s="168" t="s">
        <v>140</v>
      </c>
      <c r="C34" s="168"/>
      <c r="D34" s="168"/>
      <c r="E34" s="168"/>
      <c r="F34" s="168"/>
      <c r="G34" s="168"/>
    </row>
    <row r="35" spans="1:7" ht="67" customHeight="1">
      <c r="A35" s="4" t="s">
        <v>72</v>
      </c>
      <c r="B35" s="168" t="s">
        <v>138</v>
      </c>
      <c r="C35" s="168"/>
      <c r="D35" s="168"/>
      <c r="E35" s="168"/>
      <c r="F35" s="168"/>
      <c r="G35" s="168"/>
    </row>
  </sheetData>
  <sheetProtection password="C013" sheet="1" objects="1" scenarios="1"/>
  <mergeCells count="24">
    <mergeCell ref="B33:G33"/>
    <mergeCell ref="B34:G34"/>
    <mergeCell ref="B35:G35"/>
    <mergeCell ref="B22:G22"/>
    <mergeCell ref="B28:G28"/>
    <mergeCell ref="B29:G29"/>
    <mergeCell ref="B30:G30"/>
    <mergeCell ref="B31:G31"/>
    <mergeCell ref="B32:G32"/>
    <mergeCell ref="A1:G1"/>
    <mergeCell ref="A17:G17"/>
    <mergeCell ref="A10:G11"/>
    <mergeCell ref="A13:G13"/>
    <mergeCell ref="B27:G27"/>
    <mergeCell ref="B18:G18"/>
    <mergeCell ref="B19:G19"/>
    <mergeCell ref="B26:G26"/>
    <mergeCell ref="B20:G20"/>
    <mergeCell ref="B21:G21"/>
    <mergeCell ref="B23:G23"/>
    <mergeCell ref="B24:G24"/>
    <mergeCell ref="B25:G25"/>
    <mergeCell ref="A2:G2"/>
    <mergeCell ref="A3:G3"/>
  </mergeCells>
  <hyperlinks>
    <hyperlink ref="B19" r:id="rId1"/>
    <hyperlink ref="B22" r:id="rId2" display="Voir ce lien. "/>
    <hyperlink ref="A3" r:id="rId3"/>
  </hyperlinks>
  <pageMargins left="0.75" right="0.75" top="1" bottom="1" header="0.5" footer="0.5"/>
  <pageSetup paperSize="5" orientation="portrait" horizontalDpi="4294967292" verticalDpi="4294967292"/>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AU70"/>
  <sheetViews>
    <sheetView zoomScale="125" zoomScaleNormal="125" zoomScalePageLayoutView="125" workbookViewId="0">
      <selection activeCell="AE39" sqref="AE39"/>
    </sheetView>
  </sheetViews>
  <sheetFormatPr baseColWidth="10" defaultColWidth="9.1640625" defaultRowHeight="12" x14ac:dyDescent="0"/>
  <cols>
    <col min="1" max="1" width="1.5" style="29" customWidth="1"/>
    <col min="2" max="2" width="50.5" style="29" bestFit="1" customWidth="1"/>
    <col min="3" max="3" width="20.83203125" style="71" customWidth="1"/>
    <col min="4" max="4" width="20.83203125" style="72" customWidth="1"/>
    <col min="5" max="29" width="20.83203125" style="29" customWidth="1"/>
    <col min="30" max="16384" width="9.1640625" style="29"/>
  </cols>
  <sheetData>
    <row r="1" spans="2:14" s="22" customFormat="1">
      <c r="C1" s="23"/>
      <c r="D1" s="24"/>
    </row>
    <row r="2" spans="2:14" s="73" customFormat="1" ht="18">
      <c r="B2" s="175" t="s">
        <v>108</v>
      </c>
      <c r="C2" s="175"/>
      <c r="D2" s="175"/>
      <c r="E2" s="175"/>
      <c r="F2" s="175"/>
      <c r="G2" s="175"/>
    </row>
    <row r="3" spans="2:14" s="73" customFormat="1" ht="14">
      <c r="B3" s="176" t="s">
        <v>110</v>
      </c>
      <c r="C3" s="176"/>
      <c r="D3" s="176"/>
      <c r="E3" s="176"/>
      <c r="F3" s="176"/>
      <c r="G3" s="176"/>
    </row>
    <row r="4" spans="2:14" s="73" customFormat="1" ht="14">
      <c r="B4" s="146"/>
      <c r="C4" s="146"/>
      <c r="D4" s="146"/>
      <c r="E4" s="146"/>
      <c r="F4" s="146"/>
      <c r="G4" s="146"/>
    </row>
    <row r="5" spans="2:14" s="73" customFormat="1" ht="22" customHeight="1">
      <c r="B5" s="74"/>
      <c r="C5" s="74"/>
      <c r="D5" s="74"/>
      <c r="E5" s="74"/>
      <c r="F5" s="74"/>
      <c r="G5" s="74"/>
    </row>
    <row r="6" spans="2:14">
      <c r="B6" s="25"/>
      <c r="C6" s="26" t="s">
        <v>11</v>
      </c>
      <c r="D6" s="27"/>
      <c r="E6" s="25"/>
      <c r="F6" s="75"/>
      <c r="G6" s="75" t="s">
        <v>142</v>
      </c>
      <c r="H6" s="81">
        <f>IRR(C49:AC49,0)</f>
        <v>0.12405685951659806</v>
      </c>
      <c r="L6" s="30"/>
    </row>
    <row r="7" spans="2:14">
      <c r="B7" s="150" t="s">
        <v>152</v>
      </c>
      <c r="C7" s="31">
        <v>550000</v>
      </c>
      <c r="D7" s="27"/>
      <c r="E7" s="25"/>
      <c r="F7" s="75"/>
      <c r="G7" s="75"/>
      <c r="H7" s="34"/>
      <c r="L7" s="30"/>
    </row>
    <row r="8" spans="2:14">
      <c r="B8" s="75" t="s">
        <v>59</v>
      </c>
      <c r="C8" s="31">
        <v>500000</v>
      </c>
      <c r="D8" s="80" t="s">
        <v>93</v>
      </c>
      <c r="E8" s="33">
        <v>3500</v>
      </c>
      <c r="F8" s="34"/>
      <c r="G8" s="75" t="s">
        <v>71</v>
      </c>
      <c r="H8" s="2">
        <v>0.06</v>
      </c>
      <c r="I8" s="35"/>
      <c r="J8" s="36"/>
      <c r="K8" s="35"/>
      <c r="L8" s="37"/>
      <c r="M8" s="35"/>
      <c r="N8" s="36"/>
    </row>
    <row r="9" spans="2:14">
      <c r="B9" s="75" t="s">
        <v>0</v>
      </c>
      <c r="C9" s="31">
        <v>75000</v>
      </c>
      <c r="D9" s="80" t="s">
        <v>111</v>
      </c>
      <c r="E9" s="31">
        <v>700</v>
      </c>
      <c r="F9" s="34"/>
      <c r="G9" s="75" t="s">
        <v>72</v>
      </c>
      <c r="H9" s="82">
        <f>NPV(H8,D49:AC49)+C49</f>
        <v>122358.57219790664</v>
      </c>
      <c r="I9" s="35"/>
      <c r="J9" s="36"/>
      <c r="K9" s="35"/>
      <c r="L9" s="37"/>
      <c r="M9" s="36"/>
      <c r="N9" s="36"/>
    </row>
    <row r="10" spans="2:14">
      <c r="B10" s="75" t="s">
        <v>157</v>
      </c>
      <c r="C10" s="31">
        <v>18000</v>
      </c>
      <c r="D10" s="80"/>
      <c r="E10" s="31"/>
      <c r="F10" s="34"/>
      <c r="G10" s="75"/>
      <c r="H10" s="34"/>
      <c r="I10" s="35"/>
      <c r="J10" s="36"/>
      <c r="K10" s="35"/>
      <c r="L10" s="37"/>
      <c r="M10" s="36"/>
      <c r="N10" s="36"/>
    </row>
    <row r="11" spans="2:14">
      <c r="B11" s="75" t="s">
        <v>60</v>
      </c>
      <c r="C11" s="77">
        <f>SUM(E8:E14)</f>
        <v>7150</v>
      </c>
      <c r="D11" s="80" t="s">
        <v>112</v>
      </c>
      <c r="E11" s="31">
        <v>1200</v>
      </c>
      <c r="F11" s="34"/>
      <c r="G11" s="28"/>
      <c r="H11" s="34"/>
      <c r="I11" s="38"/>
      <c r="J11" s="38"/>
      <c r="K11" s="38"/>
      <c r="L11" s="39"/>
      <c r="M11" s="38"/>
      <c r="N11" s="40"/>
    </row>
    <row r="12" spans="2:14" ht="16" customHeight="1">
      <c r="B12" s="75" t="s">
        <v>61</v>
      </c>
      <c r="C12" s="31">
        <v>2000</v>
      </c>
      <c r="D12" s="80" t="s">
        <v>95</v>
      </c>
      <c r="E12" s="31">
        <v>1500</v>
      </c>
      <c r="F12" s="34"/>
      <c r="G12" s="41"/>
      <c r="H12" s="34"/>
      <c r="I12" s="38"/>
      <c r="J12" s="42"/>
      <c r="K12" s="38"/>
      <c r="M12" s="42"/>
      <c r="N12" s="43"/>
    </row>
    <row r="13" spans="2:14" ht="15" customHeight="1">
      <c r="B13" s="75" t="s">
        <v>62</v>
      </c>
      <c r="C13" s="31">
        <v>5000</v>
      </c>
      <c r="D13" s="80" t="s">
        <v>113</v>
      </c>
      <c r="E13" s="31">
        <v>250</v>
      </c>
      <c r="F13" s="34"/>
      <c r="G13" s="34"/>
      <c r="H13" s="34"/>
      <c r="I13" s="38"/>
      <c r="J13" s="42"/>
      <c r="K13" s="38"/>
      <c r="M13" s="42"/>
      <c r="N13" s="42"/>
    </row>
    <row r="14" spans="2:14">
      <c r="B14" s="75" t="s">
        <v>63</v>
      </c>
      <c r="C14" s="31">
        <v>50000</v>
      </c>
      <c r="D14" s="80" t="s">
        <v>114</v>
      </c>
      <c r="E14" s="31">
        <v>0</v>
      </c>
      <c r="F14" s="34"/>
      <c r="G14" s="34"/>
      <c r="H14" s="34"/>
      <c r="I14" s="38"/>
      <c r="J14" s="38"/>
      <c r="K14" s="38"/>
      <c r="M14" s="38"/>
      <c r="N14" s="38"/>
    </row>
    <row r="15" spans="2:14">
      <c r="B15" s="75" t="s">
        <v>143</v>
      </c>
      <c r="C15" s="44">
        <v>3.2500000000000001E-2</v>
      </c>
      <c r="D15" s="123" t="s">
        <v>18</v>
      </c>
      <c r="E15" s="124">
        <f>POWER(1+C15/2,2)-1</f>
        <v>3.2764062500000302E-2</v>
      </c>
      <c r="F15" s="125" t="s">
        <v>16</v>
      </c>
      <c r="G15" s="123"/>
      <c r="H15" s="124">
        <f>POWER((1+E15),(1/12))-1</f>
        <v>2.6901756927004694E-3</v>
      </c>
      <c r="I15" s="47"/>
    </row>
    <row r="16" spans="2:14">
      <c r="B16" s="75" t="s">
        <v>144</v>
      </c>
      <c r="C16" s="44">
        <v>6.5000000000000002E-2</v>
      </c>
      <c r="D16" s="123" t="s">
        <v>18</v>
      </c>
      <c r="E16" s="124">
        <f>POWER(1+C16/2,2)-1</f>
        <v>6.6056249999999928E-2</v>
      </c>
      <c r="F16" s="125" t="s">
        <v>16</v>
      </c>
      <c r="G16" s="123"/>
      <c r="H16" s="124">
        <f>POWER((1+E16),(1/12))-1</f>
        <v>5.3447400754975671E-3</v>
      </c>
      <c r="I16" s="47"/>
    </row>
    <row r="17" spans="2:47">
      <c r="B17" s="75" t="s">
        <v>65</v>
      </c>
      <c r="C17" s="2">
        <v>1.4999999999999999E-2</v>
      </c>
      <c r="D17" s="48"/>
      <c r="E17" s="34"/>
      <c r="F17" s="34"/>
      <c r="G17" s="34"/>
      <c r="H17" s="34"/>
      <c r="K17" s="49"/>
    </row>
    <row r="18" spans="2:47">
      <c r="B18" s="75"/>
      <c r="C18" s="48"/>
      <c r="D18" s="48"/>
      <c r="E18" s="34"/>
      <c r="F18" s="34"/>
      <c r="G18" s="34"/>
      <c r="H18" s="34"/>
      <c r="J18" s="50"/>
      <c r="K18" s="49"/>
    </row>
    <row r="19" spans="2:47">
      <c r="B19" s="75" t="s">
        <v>67</v>
      </c>
      <c r="C19" s="2">
        <v>2.1999999999999999E-2</v>
      </c>
      <c r="D19" s="48"/>
      <c r="E19" s="34"/>
      <c r="F19" s="34"/>
      <c r="G19" s="32" t="s">
        <v>85</v>
      </c>
      <c r="H19" s="51">
        <f>C8/C14</f>
        <v>10</v>
      </c>
      <c r="K19" s="49"/>
    </row>
    <row r="20" spans="2:47">
      <c r="B20" s="75" t="s">
        <v>68</v>
      </c>
      <c r="C20" s="52">
        <v>0.42</v>
      </c>
      <c r="D20" s="48"/>
      <c r="E20" s="34"/>
      <c r="F20" s="34"/>
      <c r="G20" s="32" t="s">
        <v>86</v>
      </c>
      <c r="H20" s="51">
        <f>C8/(C14-C11)</f>
        <v>11.668611435239207</v>
      </c>
      <c r="K20" s="49"/>
    </row>
    <row r="21" spans="2:47">
      <c r="B21" s="75" t="s">
        <v>66</v>
      </c>
      <c r="C21" s="2">
        <v>0.03</v>
      </c>
      <c r="D21" s="48"/>
      <c r="E21" s="34"/>
      <c r="F21" s="34"/>
      <c r="G21" s="34"/>
      <c r="H21" s="34"/>
      <c r="I21" s="53"/>
      <c r="J21" s="54"/>
      <c r="K21" s="55"/>
      <c r="L21" s="56"/>
      <c r="M21" s="56"/>
      <c r="N21" s="56"/>
      <c r="O21" s="56"/>
      <c r="P21" s="56"/>
      <c r="Q21" s="56"/>
      <c r="R21" s="56"/>
      <c r="S21" s="56"/>
      <c r="T21" s="56"/>
      <c r="U21" s="56"/>
      <c r="V21" s="56"/>
      <c r="W21" s="56"/>
      <c r="X21" s="56"/>
      <c r="Y21" s="56"/>
      <c r="Z21" s="56"/>
      <c r="AA21" s="56"/>
      <c r="AB21" s="56"/>
      <c r="AC21" s="56"/>
      <c r="AD21" s="56"/>
      <c r="AE21" s="56"/>
      <c r="AF21" s="56"/>
      <c r="AG21" s="56"/>
      <c r="AH21" s="56"/>
    </row>
    <row r="22" spans="2:47">
      <c r="B22" s="75" t="s">
        <v>150</v>
      </c>
      <c r="C22" s="31">
        <f>1250+800</f>
        <v>2050</v>
      </c>
      <c r="D22" s="48"/>
      <c r="E22" s="34"/>
      <c r="F22" s="34"/>
      <c r="G22" s="34"/>
      <c r="H22" s="34"/>
      <c r="I22" s="53"/>
      <c r="J22" s="57"/>
      <c r="K22" s="58"/>
      <c r="L22" s="56"/>
      <c r="M22" s="56"/>
      <c r="N22" s="56"/>
      <c r="O22" s="56"/>
      <c r="P22" s="56"/>
      <c r="Q22" s="56"/>
      <c r="R22" s="54"/>
      <c r="S22" s="54"/>
      <c r="T22" s="54"/>
      <c r="U22" s="54"/>
      <c r="V22" s="54"/>
      <c r="W22" s="54"/>
      <c r="X22" s="54"/>
      <c r="Y22" s="54"/>
      <c r="Z22" s="54"/>
      <c r="AA22" s="54"/>
      <c r="AB22" s="54"/>
      <c r="AC22" s="54"/>
      <c r="AD22" s="54"/>
      <c r="AE22" s="54"/>
      <c r="AF22" s="54"/>
      <c r="AG22" s="54"/>
      <c r="AH22" s="54"/>
      <c r="AI22" s="59"/>
      <c r="AJ22" s="59"/>
      <c r="AK22" s="59"/>
      <c r="AL22" s="59"/>
      <c r="AM22" s="59"/>
      <c r="AN22" s="59"/>
      <c r="AO22" s="59"/>
      <c r="AP22" s="59"/>
      <c r="AQ22" s="59"/>
      <c r="AR22" s="59"/>
      <c r="AS22" s="59"/>
      <c r="AT22" s="59"/>
      <c r="AU22" s="59"/>
    </row>
    <row r="23" spans="2:47">
      <c r="B23" s="75" t="s">
        <v>148</v>
      </c>
      <c r="C23" s="31">
        <v>87000</v>
      </c>
      <c r="D23" s="48"/>
      <c r="E23" s="34"/>
      <c r="F23" s="34"/>
      <c r="G23" s="34"/>
      <c r="H23" s="34"/>
      <c r="I23" s="53"/>
      <c r="J23" s="54"/>
      <c r="K23" s="55"/>
      <c r="L23" s="56"/>
      <c r="M23" s="56"/>
      <c r="N23" s="56"/>
      <c r="O23" s="56"/>
      <c r="P23" s="56"/>
      <c r="Q23" s="56"/>
      <c r="R23" s="56"/>
      <c r="S23" s="56"/>
      <c r="T23" s="56"/>
      <c r="U23" s="56"/>
      <c r="V23" s="56"/>
      <c r="W23" s="56"/>
      <c r="X23" s="56"/>
      <c r="Y23" s="56"/>
      <c r="Z23" s="56"/>
      <c r="AA23" s="56"/>
      <c r="AB23" s="56"/>
      <c r="AC23" s="56"/>
      <c r="AD23" s="56"/>
      <c r="AE23" s="56"/>
      <c r="AF23" s="56"/>
      <c r="AG23" s="56"/>
      <c r="AH23" s="56"/>
    </row>
    <row r="24" spans="2:47">
      <c r="B24" s="75" t="s">
        <v>149</v>
      </c>
      <c r="C24" s="31">
        <v>320000</v>
      </c>
      <c r="D24" s="48"/>
      <c r="E24" s="34"/>
      <c r="F24" s="34"/>
      <c r="G24" s="34"/>
      <c r="H24" s="34"/>
      <c r="I24" s="53"/>
      <c r="J24" s="60"/>
      <c r="K24" s="58"/>
      <c r="L24" s="56"/>
      <c r="M24" s="56"/>
      <c r="N24" s="56"/>
      <c r="O24" s="56"/>
      <c r="P24" s="56"/>
      <c r="Q24" s="56"/>
      <c r="R24" s="56"/>
      <c r="S24" s="56"/>
      <c r="T24" s="56"/>
      <c r="U24" s="56"/>
      <c r="V24" s="56"/>
      <c r="W24" s="56"/>
      <c r="X24" s="56"/>
      <c r="Y24" s="56"/>
      <c r="Z24" s="56"/>
      <c r="AA24" s="56"/>
      <c r="AB24" s="56"/>
      <c r="AC24" s="56"/>
      <c r="AD24" s="56"/>
      <c r="AE24" s="56"/>
      <c r="AF24" s="56"/>
      <c r="AG24" s="56"/>
      <c r="AH24" s="56"/>
    </row>
    <row r="25" spans="2:47">
      <c r="B25" s="76" t="s">
        <v>69</v>
      </c>
      <c r="C25" s="78">
        <f>C24/(C23+C24)</f>
        <v>0.78624078624078619</v>
      </c>
      <c r="D25" s="46"/>
      <c r="E25" s="45"/>
      <c r="F25" s="45"/>
      <c r="G25" s="45"/>
      <c r="H25" s="45"/>
      <c r="I25" s="61"/>
      <c r="J25" s="60"/>
      <c r="K25" s="62"/>
      <c r="L25" s="56"/>
      <c r="M25" s="56"/>
      <c r="N25" s="56"/>
      <c r="O25" s="56"/>
      <c r="P25" s="56"/>
      <c r="Q25" s="56"/>
      <c r="R25" s="56"/>
      <c r="S25" s="56"/>
      <c r="T25" s="56"/>
      <c r="U25" s="56"/>
      <c r="V25" s="56"/>
      <c r="W25" s="56"/>
      <c r="X25" s="56"/>
      <c r="Y25" s="56"/>
      <c r="Z25" s="56"/>
      <c r="AA25" s="56"/>
      <c r="AB25" s="56"/>
      <c r="AC25" s="56"/>
      <c r="AD25" s="56"/>
      <c r="AE25" s="56"/>
      <c r="AF25" s="56"/>
      <c r="AG25" s="56"/>
      <c r="AH25" s="56"/>
    </row>
    <row r="26" spans="2:47">
      <c r="B26" s="76" t="s">
        <v>52</v>
      </c>
      <c r="C26" s="79">
        <f>C25*C8</f>
        <v>393120.3931203931</v>
      </c>
      <c r="D26" s="63"/>
      <c r="E26" s="63"/>
      <c r="F26" s="63"/>
      <c r="G26" s="63"/>
      <c r="H26" s="63"/>
      <c r="I26" s="64"/>
      <c r="J26" s="64"/>
      <c r="K26" s="64"/>
      <c r="L26" s="64"/>
      <c r="M26" s="64"/>
      <c r="N26" s="64"/>
      <c r="O26" s="64"/>
      <c r="P26" s="64"/>
      <c r="Q26" s="64"/>
      <c r="R26" s="64"/>
      <c r="S26" s="64"/>
      <c r="T26" s="64"/>
      <c r="U26" s="64"/>
      <c r="V26" s="64"/>
      <c r="W26" s="64"/>
      <c r="X26" s="64"/>
      <c r="Y26" s="64"/>
      <c r="Z26" s="64"/>
      <c r="AA26" s="64"/>
      <c r="AB26" s="64"/>
      <c r="AC26" s="56"/>
      <c r="AD26" s="56"/>
      <c r="AE26" s="56"/>
      <c r="AF26" s="56"/>
      <c r="AG26" s="56"/>
      <c r="AH26" s="56"/>
    </row>
    <row r="27" spans="2:47">
      <c r="B27" s="174" t="s">
        <v>70</v>
      </c>
      <c r="C27" s="174"/>
      <c r="D27" s="2">
        <v>1.4999999999999999E-2</v>
      </c>
      <c r="E27" s="65"/>
      <c r="F27" s="34"/>
      <c r="G27" s="34"/>
      <c r="H27" s="34"/>
      <c r="I27" s="66"/>
      <c r="J27" s="66"/>
      <c r="K27" s="66"/>
      <c r="L27" s="66"/>
      <c r="M27" s="66"/>
      <c r="N27" s="66"/>
      <c r="O27" s="66"/>
      <c r="P27" s="66"/>
      <c r="Q27" s="66"/>
      <c r="R27" s="66"/>
      <c r="S27" s="66"/>
      <c r="T27" s="66"/>
      <c r="U27" s="66"/>
      <c r="V27" s="66"/>
      <c r="W27" s="66"/>
      <c r="X27" s="66"/>
      <c r="Y27" s="66"/>
      <c r="Z27" s="66"/>
      <c r="AA27" s="66"/>
      <c r="AB27" s="66"/>
      <c r="AC27" s="56"/>
      <c r="AD27" s="56"/>
      <c r="AE27" s="56"/>
      <c r="AF27" s="56"/>
      <c r="AG27" s="56"/>
      <c r="AH27" s="56"/>
    </row>
    <row r="28" spans="2:47" s="56" customFormat="1">
      <c r="B28" s="67"/>
      <c r="C28" s="66"/>
      <c r="D28" s="1"/>
      <c r="E28" s="68"/>
      <c r="F28" s="66"/>
      <c r="G28" s="66"/>
      <c r="H28" s="66"/>
      <c r="I28" s="66"/>
      <c r="J28" s="66"/>
      <c r="K28" s="66"/>
      <c r="L28" s="66"/>
      <c r="M28" s="66"/>
      <c r="N28" s="66"/>
      <c r="O28" s="66"/>
      <c r="P28" s="66"/>
      <c r="Q28" s="66"/>
      <c r="R28" s="66"/>
      <c r="S28" s="66"/>
      <c r="T28" s="66"/>
      <c r="U28" s="66"/>
      <c r="V28" s="66"/>
      <c r="W28" s="66"/>
      <c r="X28" s="66"/>
      <c r="Y28" s="66"/>
      <c r="Z28" s="66"/>
      <c r="AA28" s="66"/>
      <c r="AB28" s="66"/>
    </row>
    <row r="29" spans="2:47">
      <c r="B29" s="83" t="s">
        <v>75</v>
      </c>
      <c r="C29" s="84"/>
      <c r="D29" s="85"/>
      <c r="E29" s="86"/>
      <c r="F29" s="86"/>
      <c r="G29" s="86"/>
      <c r="H29" s="86"/>
      <c r="I29" s="86"/>
      <c r="J29" s="86"/>
      <c r="K29" s="86"/>
      <c r="L29" s="86"/>
      <c r="M29" s="86"/>
      <c r="N29" s="86"/>
      <c r="O29" s="86"/>
      <c r="P29" s="86"/>
      <c r="Q29" s="86"/>
      <c r="R29" s="86"/>
      <c r="S29" s="86"/>
      <c r="T29" s="86"/>
      <c r="U29" s="86"/>
      <c r="V29" s="86"/>
      <c r="W29" s="86"/>
      <c r="X29" s="86"/>
      <c r="Y29" s="86"/>
      <c r="Z29" s="86"/>
      <c r="AA29" s="86"/>
      <c r="AB29" s="86"/>
      <c r="AC29" s="83"/>
    </row>
    <row r="30" spans="2:47">
      <c r="B30" s="87" t="s">
        <v>79</v>
      </c>
      <c r="C30" s="88" t="s">
        <v>78</v>
      </c>
      <c r="D30" s="89" t="s">
        <v>19</v>
      </c>
      <c r="E30" s="89" t="s">
        <v>20</v>
      </c>
      <c r="F30" s="89" t="s">
        <v>21</v>
      </c>
      <c r="G30" s="89" t="s">
        <v>22</v>
      </c>
      <c r="H30" s="89" t="s">
        <v>23</v>
      </c>
      <c r="I30" s="89" t="s">
        <v>24</v>
      </c>
      <c r="J30" s="89" t="s">
        <v>25</v>
      </c>
      <c r="K30" s="89" t="s">
        <v>26</v>
      </c>
      <c r="L30" s="89" t="s">
        <v>27</v>
      </c>
      <c r="M30" s="89" t="s">
        <v>28</v>
      </c>
      <c r="N30" s="89" t="s">
        <v>29</v>
      </c>
      <c r="O30" s="89" t="s">
        <v>30</v>
      </c>
      <c r="P30" s="89" t="s">
        <v>31</v>
      </c>
      <c r="Q30" s="89" t="s">
        <v>32</v>
      </c>
      <c r="R30" s="89" t="s">
        <v>33</v>
      </c>
      <c r="S30" s="89" t="s">
        <v>34</v>
      </c>
      <c r="T30" s="89" t="s">
        <v>35</v>
      </c>
      <c r="U30" s="89" t="s">
        <v>36</v>
      </c>
      <c r="V30" s="89" t="s">
        <v>37</v>
      </c>
      <c r="W30" s="89" t="s">
        <v>38</v>
      </c>
      <c r="X30" s="89" t="s">
        <v>39</v>
      </c>
      <c r="Y30" s="89" t="s">
        <v>40</v>
      </c>
      <c r="Z30" s="89" t="s">
        <v>41</v>
      </c>
      <c r="AA30" s="89" t="s">
        <v>42</v>
      </c>
      <c r="AB30" s="89" t="s">
        <v>43</v>
      </c>
      <c r="AC30" s="89" t="s">
        <v>80</v>
      </c>
    </row>
    <row r="31" spans="2:47">
      <c r="B31" s="90" t="s">
        <v>1</v>
      </c>
      <c r="C31" s="91">
        <v>0</v>
      </c>
      <c r="D31" s="149">
        <f>C14*(1-C21)</f>
        <v>48500</v>
      </c>
      <c r="E31" s="91">
        <f>(D31*$C$17)+D31</f>
        <v>49227.5</v>
      </c>
      <c r="F31" s="91">
        <f t="shared" ref="F31:AB31" si="0">(E31*$C$17)+E31</f>
        <v>49965.912499999999</v>
      </c>
      <c r="G31" s="91">
        <f t="shared" si="0"/>
        <v>50715.4011875</v>
      </c>
      <c r="H31" s="91">
        <f t="shared" si="0"/>
        <v>51476.132205312497</v>
      </c>
      <c r="I31" s="91">
        <f t="shared" si="0"/>
        <v>52248.274188392184</v>
      </c>
      <c r="J31" s="91">
        <f t="shared" si="0"/>
        <v>53031.998301218067</v>
      </c>
      <c r="K31" s="91">
        <f t="shared" si="0"/>
        <v>53827.478275736335</v>
      </c>
      <c r="L31" s="91">
        <f t="shared" si="0"/>
        <v>54634.890449872379</v>
      </c>
      <c r="M31" s="91">
        <f t="shared" si="0"/>
        <v>55454.413806620461</v>
      </c>
      <c r="N31" s="91">
        <f t="shared" si="0"/>
        <v>56286.230013719767</v>
      </c>
      <c r="O31" s="91">
        <f t="shared" si="0"/>
        <v>57130.523463925565</v>
      </c>
      <c r="P31" s="91">
        <f t="shared" si="0"/>
        <v>57987.481315884448</v>
      </c>
      <c r="Q31" s="91">
        <f t="shared" si="0"/>
        <v>58857.293535622717</v>
      </c>
      <c r="R31" s="91">
        <f t="shared" si="0"/>
        <v>59740.152938657055</v>
      </c>
      <c r="S31" s="91">
        <f t="shared" si="0"/>
        <v>60636.255232736912</v>
      </c>
      <c r="T31" s="91">
        <f t="shared" si="0"/>
        <v>61545.799061227968</v>
      </c>
      <c r="U31" s="91">
        <f t="shared" si="0"/>
        <v>62468.986047146391</v>
      </c>
      <c r="V31" s="91">
        <f t="shared" si="0"/>
        <v>63406.02083785359</v>
      </c>
      <c r="W31" s="91">
        <f t="shared" si="0"/>
        <v>64357.111150421391</v>
      </c>
      <c r="X31" s="91">
        <f t="shared" si="0"/>
        <v>65322.467817677709</v>
      </c>
      <c r="Y31" s="91">
        <f t="shared" si="0"/>
        <v>66302.304834942872</v>
      </c>
      <c r="Z31" s="91">
        <f t="shared" si="0"/>
        <v>67296.839407467021</v>
      </c>
      <c r="AA31" s="91">
        <f t="shared" si="0"/>
        <v>68306.291998579021</v>
      </c>
      <c r="AB31" s="91">
        <f t="shared" si="0"/>
        <v>69330.886378557712</v>
      </c>
      <c r="AC31" s="91"/>
    </row>
    <row r="32" spans="2:47">
      <c r="B32" s="90" t="s">
        <v>2</v>
      </c>
      <c r="C32" s="91">
        <f>C8-C9+C10</f>
        <v>443000</v>
      </c>
      <c r="D32" s="92">
        <v>0</v>
      </c>
      <c r="E32" s="91">
        <v>0</v>
      </c>
      <c r="F32" s="91">
        <v>0</v>
      </c>
      <c r="G32" s="91">
        <v>0</v>
      </c>
      <c r="H32" s="91">
        <v>0</v>
      </c>
      <c r="I32" s="91">
        <v>0</v>
      </c>
      <c r="J32" s="91">
        <v>0</v>
      </c>
      <c r="K32" s="91">
        <v>0</v>
      </c>
      <c r="L32" s="91">
        <v>0</v>
      </c>
      <c r="M32" s="91">
        <v>0</v>
      </c>
      <c r="N32" s="91">
        <v>0</v>
      </c>
      <c r="O32" s="91">
        <v>0</v>
      </c>
      <c r="P32" s="91">
        <v>0</v>
      </c>
      <c r="Q32" s="91">
        <v>0</v>
      </c>
      <c r="R32" s="91">
        <v>0</v>
      </c>
      <c r="S32" s="91">
        <v>0</v>
      </c>
      <c r="T32" s="91">
        <v>0</v>
      </c>
      <c r="U32" s="91">
        <v>0</v>
      </c>
      <c r="V32" s="91">
        <v>0</v>
      </c>
      <c r="W32" s="91">
        <v>0</v>
      </c>
      <c r="X32" s="91">
        <v>0</v>
      </c>
      <c r="Y32" s="91">
        <v>0</v>
      </c>
      <c r="Z32" s="91">
        <v>0</v>
      </c>
      <c r="AA32" s="91">
        <v>0</v>
      </c>
      <c r="AB32" s="91">
        <v>0</v>
      </c>
      <c r="AC32" s="91"/>
    </row>
    <row r="33" spans="2:29">
      <c r="B33" s="90" t="s">
        <v>156</v>
      </c>
      <c r="C33" s="91"/>
      <c r="D33" s="92"/>
      <c r="E33" s="91"/>
      <c r="F33" s="91"/>
      <c r="G33" s="91"/>
      <c r="H33" s="91"/>
      <c r="I33" s="91"/>
      <c r="J33" s="91"/>
      <c r="K33" s="91"/>
      <c r="L33" s="91"/>
      <c r="M33" s="91"/>
      <c r="N33" s="91"/>
      <c r="O33" s="91"/>
      <c r="P33" s="91"/>
      <c r="Q33" s="91"/>
      <c r="R33" s="91"/>
      <c r="S33" s="91"/>
      <c r="T33" s="91"/>
      <c r="U33" s="91"/>
      <c r="V33" s="91"/>
      <c r="W33" s="91"/>
      <c r="X33" s="91"/>
      <c r="Y33" s="91"/>
      <c r="Z33" s="91"/>
      <c r="AA33" s="91"/>
      <c r="AB33" s="91"/>
      <c r="AC33" s="91">
        <f>SUM(D59:AB59)</f>
        <v>255833.95657907578</v>
      </c>
    </row>
    <row r="34" spans="2:29">
      <c r="B34" s="90" t="s">
        <v>3</v>
      </c>
      <c r="C34" s="91">
        <v>0</v>
      </c>
      <c r="D34" s="92">
        <v>0</v>
      </c>
      <c r="E34" s="91">
        <v>0</v>
      </c>
      <c r="F34" s="91">
        <v>0</v>
      </c>
      <c r="G34" s="91">
        <v>0</v>
      </c>
      <c r="H34" s="91">
        <v>0</v>
      </c>
      <c r="I34" s="91">
        <v>0</v>
      </c>
      <c r="J34" s="91">
        <v>0</v>
      </c>
      <c r="K34" s="91">
        <v>0</v>
      </c>
      <c r="L34" s="91">
        <v>0</v>
      </c>
      <c r="M34" s="91">
        <v>0</v>
      </c>
      <c r="N34" s="91">
        <v>0</v>
      </c>
      <c r="O34" s="91">
        <v>0</v>
      </c>
      <c r="P34" s="91">
        <v>0</v>
      </c>
      <c r="Q34" s="91">
        <v>0</v>
      </c>
      <c r="R34" s="91">
        <v>0</v>
      </c>
      <c r="S34" s="91">
        <v>0</v>
      </c>
      <c r="T34" s="91">
        <v>0</v>
      </c>
      <c r="U34" s="91">
        <v>0</v>
      </c>
      <c r="V34" s="91">
        <v>0</v>
      </c>
      <c r="W34" s="91">
        <v>0</v>
      </c>
      <c r="X34" s="91">
        <v>0</v>
      </c>
      <c r="Y34" s="91">
        <v>0</v>
      </c>
      <c r="Z34" s="91">
        <v>0</v>
      </c>
      <c r="AA34" s="91">
        <v>0</v>
      </c>
      <c r="AB34" s="91">
        <v>0</v>
      </c>
      <c r="AC34" s="91">
        <f>C8*(1+D27)*(1+D27)*(1+D27)*(1+D27)*(1+D27)*(1+D27)*(1+D27)*(1+D27)*(1+D27)*(1+D27)*(1+D27)*(1+D27)*(1+D27)*(1+D27)*(1+D27)*(1+D27)*(1+D27)*(1+D27)*(1+D27)*(1+D27)*(1+D27)*(1+D27)*(1+D27)*(1+D27)*(1+D27)</f>
        <v>725472.6770539789</v>
      </c>
    </row>
    <row r="35" spans="2:29">
      <c r="B35" s="93" t="s">
        <v>4</v>
      </c>
      <c r="C35" s="94">
        <f t="shared" ref="C35:AB35" si="1">C31+C32+C34</f>
        <v>443000</v>
      </c>
      <c r="D35" s="95">
        <f t="shared" si="1"/>
        <v>48500</v>
      </c>
      <c r="E35" s="94">
        <f t="shared" si="1"/>
        <v>49227.5</v>
      </c>
      <c r="F35" s="94">
        <f t="shared" si="1"/>
        <v>49965.912499999999</v>
      </c>
      <c r="G35" s="94">
        <f t="shared" si="1"/>
        <v>50715.4011875</v>
      </c>
      <c r="H35" s="94">
        <f t="shared" si="1"/>
        <v>51476.132205312497</v>
      </c>
      <c r="I35" s="94">
        <f t="shared" si="1"/>
        <v>52248.274188392184</v>
      </c>
      <c r="J35" s="94">
        <f t="shared" si="1"/>
        <v>53031.998301218067</v>
      </c>
      <c r="K35" s="94">
        <f t="shared" si="1"/>
        <v>53827.478275736335</v>
      </c>
      <c r="L35" s="94">
        <f t="shared" si="1"/>
        <v>54634.890449872379</v>
      </c>
      <c r="M35" s="94">
        <f t="shared" si="1"/>
        <v>55454.413806620461</v>
      </c>
      <c r="N35" s="94">
        <f t="shared" si="1"/>
        <v>56286.230013719767</v>
      </c>
      <c r="O35" s="94">
        <f t="shared" si="1"/>
        <v>57130.523463925565</v>
      </c>
      <c r="P35" s="94">
        <f t="shared" si="1"/>
        <v>57987.481315884448</v>
      </c>
      <c r="Q35" s="94">
        <f t="shared" si="1"/>
        <v>58857.293535622717</v>
      </c>
      <c r="R35" s="94">
        <f t="shared" si="1"/>
        <v>59740.152938657055</v>
      </c>
      <c r="S35" s="94">
        <f t="shared" si="1"/>
        <v>60636.255232736912</v>
      </c>
      <c r="T35" s="94">
        <f t="shared" si="1"/>
        <v>61545.799061227968</v>
      </c>
      <c r="U35" s="94">
        <f t="shared" si="1"/>
        <v>62468.986047146391</v>
      </c>
      <c r="V35" s="94">
        <f t="shared" si="1"/>
        <v>63406.02083785359</v>
      </c>
      <c r="W35" s="94">
        <f t="shared" si="1"/>
        <v>64357.111150421391</v>
      </c>
      <c r="X35" s="94">
        <f t="shared" si="1"/>
        <v>65322.467817677709</v>
      </c>
      <c r="Y35" s="94">
        <f t="shared" si="1"/>
        <v>66302.304834942872</v>
      </c>
      <c r="Z35" s="94">
        <f t="shared" si="1"/>
        <v>67296.839407467021</v>
      </c>
      <c r="AA35" s="94">
        <f t="shared" si="1"/>
        <v>68306.291998579021</v>
      </c>
      <c r="AB35" s="94">
        <f t="shared" si="1"/>
        <v>69330.886378557712</v>
      </c>
      <c r="AC35" s="94">
        <f>AC34</f>
        <v>725472.6770539789</v>
      </c>
    </row>
    <row r="36" spans="2:29">
      <c r="B36" s="96"/>
      <c r="C36" s="91"/>
      <c r="D36" s="92"/>
      <c r="E36" s="91"/>
      <c r="F36" s="91"/>
      <c r="G36" s="91"/>
      <c r="H36" s="91"/>
      <c r="I36" s="91"/>
      <c r="J36" s="91"/>
      <c r="K36" s="91"/>
      <c r="L36" s="91"/>
      <c r="M36" s="91"/>
      <c r="N36" s="91"/>
      <c r="O36" s="91"/>
      <c r="P36" s="91"/>
      <c r="Q36" s="91"/>
      <c r="R36" s="91"/>
      <c r="S36" s="91"/>
      <c r="T36" s="91"/>
      <c r="U36" s="91"/>
      <c r="V36" s="91"/>
      <c r="W36" s="91"/>
      <c r="X36" s="91"/>
      <c r="Y36" s="91"/>
      <c r="Z36" s="91"/>
      <c r="AA36" s="91"/>
      <c r="AB36" s="91"/>
      <c r="AC36" s="91"/>
    </row>
    <row r="37" spans="2:29">
      <c r="B37" s="90" t="s">
        <v>5</v>
      </c>
      <c r="C37" s="91"/>
      <c r="D37" s="97">
        <f>C11</f>
        <v>7150</v>
      </c>
      <c r="E37" s="91">
        <f t="shared" ref="E37:AB37" si="2">(D37*$C$19)+D37</f>
        <v>7307.3</v>
      </c>
      <c r="F37" s="91">
        <f t="shared" si="2"/>
        <v>7468.0605999999998</v>
      </c>
      <c r="G37" s="91">
        <f t="shared" si="2"/>
        <v>7632.3579331999999</v>
      </c>
      <c r="H37" s="91">
        <f t="shared" si="2"/>
        <v>7800.2698077304003</v>
      </c>
      <c r="I37" s="91">
        <f t="shared" si="2"/>
        <v>7971.8757435004691</v>
      </c>
      <c r="J37" s="91">
        <f t="shared" si="2"/>
        <v>8147.2570098574797</v>
      </c>
      <c r="K37" s="91">
        <f t="shared" si="2"/>
        <v>8326.4966640743442</v>
      </c>
      <c r="L37" s="91">
        <f t="shared" si="2"/>
        <v>8509.6795906839798</v>
      </c>
      <c r="M37" s="91">
        <f t="shared" si="2"/>
        <v>8696.892541679028</v>
      </c>
      <c r="N37" s="91">
        <f t="shared" si="2"/>
        <v>8888.2241775959665</v>
      </c>
      <c r="O37" s="91">
        <f t="shared" si="2"/>
        <v>9083.7651095030778</v>
      </c>
      <c r="P37" s="91">
        <f t="shared" si="2"/>
        <v>9283.6079419121452</v>
      </c>
      <c r="Q37" s="91">
        <f t="shared" si="2"/>
        <v>9487.8473166342119</v>
      </c>
      <c r="R37" s="91">
        <f t="shared" si="2"/>
        <v>9696.5799576001646</v>
      </c>
      <c r="S37" s="91">
        <f t="shared" si="2"/>
        <v>9909.9047166673681</v>
      </c>
      <c r="T37" s="91">
        <f t="shared" si="2"/>
        <v>10127.92262043405</v>
      </c>
      <c r="U37" s="91">
        <f t="shared" si="2"/>
        <v>10350.736918083599</v>
      </c>
      <c r="V37" s="91">
        <f t="shared" si="2"/>
        <v>10578.453130281439</v>
      </c>
      <c r="W37" s="91">
        <f t="shared" si="2"/>
        <v>10811.179099147632</v>
      </c>
      <c r="X37" s="91">
        <f t="shared" si="2"/>
        <v>11049.025039328881</v>
      </c>
      <c r="Y37" s="91">
        <f t="shared" si="2"/>
        <v>11292.103590194116</v>
      </c>
      <c r="Z37" s="91">
        <f t="shared" si="2"/>
        <v>11540.529869178386</v>
      </c>
      <c r="AA37" s="91">
        <f t="shared" si="2"/>
        <v>11794.421526300312</v>
      </c>
      <c r="AB37" s="91">
        <f t="shared" si="2"/>
        <v>12053.898799878918</v>
      </c>
      <c r="AC37" s="91"/>
    </row>
    <row r="38" spans="2:29">
      <c r="B38" s="90" t="s">
        <v>77</v>
      </c>
      <c r="C38" s="91"/>
      <c r="D38" s="147">
        <f>C12</f>
        <v>2000</v>
      </c>
      <c r="E38" s="148">
        <f t="shared" ref="E38:AB38" si="3">(D38*$C$19)+D38</f>
        <v>2044</v>
      </c>
      <c r="F38" s="148">
        <f t="shared" si="3"/>
        <v>2088.9679999999998</v>
      </c>
      <c r="G38" s="148">
        <f t="shared" si="3"/>
        <v>2134.9252959999999</v>
      </c>
      <c r="H38" s="148">
        <f t="shared" si="3"/>
        <v>2181.8936525119998</v>
      </c>
      <c r="I38" s="148">
        <f t="shared" si="3"/>
        <v>2229.8953128672638</v>
      </c>
      <c r="J38" s="148">
        <f t="shared" si="3"/>
        <v>2278.9530097503434</v>
      </c>
      <c r="K38" s="148">
        <f t="shared" si="3"/>
        <v>2329.089975964851</v>
      </c>
      <c r="L38" s="148">
        <f t="shared" si="3"/>
        <v>2380.3299554360779</v>
      </c>
      <c r="M38" s="148">
        <f t="shared" si="3"/>
        <v>2432.6972144556717</v>
      </c>
      <c r="N38" s="148">
        <f t="shared" si="3"/>
        <v>2486.2165531736964</v>
      </c>
      <c r="O38" s="148">
        <f t="shared" si="3"/>
        <v>2540.9133173435175</v>
      </c>
      <c r="P38" s="148">
        <f t="shared" si="3"/>
        <v>2596.813410325075</v>
      </c>
      <c r="Q38" s="148">
        <f t="shared" si="3"/>
        <v>2653.9433053522266</v>
      </c>
      <c r="R38" s="148">
        <f t="shared" si="3"/>
        <v>2712.3300580699756</v>
      </c>
      <c r="S38" s="148">
        <f t="shared" si="3"/>
        <v>2772.0013193475152</v>
      </c>
      <c r="T38" s="148">
        <f t="shared" si="3"/>
        <v>2832.9853483731604</v>
      </c>
      <c r="U38" s="148">
        <f t="shared" si="3"/>
        <v>2895.3110260373701</v>
      </c>
      <c r="V38" s="148">
        <f t="shared" si="3"/>
        <v>2959.0078686101924</v>
      </c>
      <c r="W38" s="148">
        <f t="shared" si="3"/>
        <v>3024.1060417196168</v>
      </c>
      <c r="X38" s="148">
        <f t="shared" si="3"/>
        <v>3090.6363746374482</v>
      </c>
      <c r="Y38" s="148">
        <f t="shared" si="3"/>
        <v>3158.6303748794721</v>
      </c>
      <c r="Z38" s="148">
        <f t="shared" si="3"/>
        <v>3228.1202431268207</v>
      </c>
      <c r="AA38" s="148">
        <f t="shared" si="3"/>
        <v>3299.1388884756107</v>
      </c>
      <c r="AB38" s="148">
        <f t="shared" si="3"/>
        <v>3371.7199440220743</v>
      </c>
      <c r="AC38" s="91"/>
    </row>
    <row r="39" spans="2:29">
      <c r="B39" s="90" t="s">
        <v>76</v>
      </c>
      <c r="C39" s="91">
        <f>C13</f>
        <v>5000</v>
      </c>
      <c r="D39" s="92"/>
      <c r="E39" s="91"/>
      <c r="F39" s="91"/>
      <c r="G39" s="91"/>
      <c r="H39" s="91"/>
      <c r="I39" s="91"/>
      <c r="J39" s="91"/>
      <c r="K39" s="91"/>
      <c r="L39" s="91"/>
      <c r="M39" s="91"/>
      <c r="N39" s="91"/>
      <c r="O39" s="91"/>
      <c r="P39" s="91"/>
      <c r="Q39" s="91"/>
      <c r="R39" s="91"/>
      <c r="S39" s="91"/>
      <c r="T39" s="91"/>
      <c r="U39" s="91"/>
      <c r="V39" s="91"/>
      <c r="W39" s="91"/>
      <c r="X39" s="91"/>
      <c r="Y39" s="91"/>
      <c r="Z39" s="91"/>
      <c r="AA39" s="91"/>
      <c r="AB39" s="91"/>
      <c r="AC39" s="91"/>
    </row>
    <row r="40" spans="2:29">
      <c r="B40" s="90" t="s">
        <v>6</v>
      </c>
      <c r="C40" s="91"/>
      <c r="D40" s="92">
        <f>'Calculs hypothécaires'!H16</f>
        <v>14128.634232167984</v>
      </c>
      <c r="E40" s="91">
        <f>'Calculs hypothécaires'!H28</f>
        <v>13744.772169624317</v>
      </c>
      <c r="F40" s="91">
        <f>'Calculs hypothécaires'!H40</f>
        <v>13348.333226472087</v>
      </c>
      <c r="G40" s="91">
        <f>'Calculs hypothécaires'!H52</f>
        <v>12938.905333008988</v>
      </c>
      <c r="H40" s="91">
        <f>'Calculs hypothécaires'!$H$64</f>
        <v>12516.062918455222</v>
      </c>
      <c r="I40" s="91">
        <f>'Calculs hypothécaires'!$H$76</f>
        <v>24119.633801869462</v>
      </c>
      <c r="J40" s="91">
        <f>'Calculs hypothécaires'!$H$88</f>
        <v>23479.713253208312</v>
      </c>
      <c r="K40" s="91">
        <f>'Calculs hypothécaires'!$H$100</f>
        <v>22797.521952804655</v>
      </c>
      <c r="L40" s="91">
        <f>'Calculs hypothécaires'!$H$112</f>
        <v>22070.267653313716</v>
      </c>
      <c r="M40" s="91">
        <f>'Calculs hypothécaires'!$H$124</f>
        <v>21294.973662002023</v>
      </c>
      <c r="N40" s="91">
        <f>'Calculs hypothécaires'!$H$136</f>
        <v>20468.466656976751</v>
      </c>
      <c r="O40" s="91">
        <f>'Calculs hypothécaires'!$H$148</f>
        <v>19587.363698600777</v>
      </c>
      <c r="P40" s="91">
        <f>'Calculs hypothécaires'!$H$160</f>
        <v>18648.05838293058</v>
      </c>
      <c r="Q40" s="91">
        <f>'Calculs hypothécaires'!$H$172</f>
        <v>17646.706080502139</v>
      </c>
      <c r="R40" s="91">
        <f>'Calculs hypothécaires'!$H$184</f>
        <v>16579.208200046425</v>
      </c>
      <c r="S40" s="91">
        <f>'Calculs hypothécaires'!$H$196</f>
        <v>15441.195412724863</v>
      </c>
      <c r="T40" s="91">
        <f>'Calculs hypothécaires'!$H$208</f>
        <v>14228.009768220798</v>
      </c>
      <c r="U40" s="91">
        <f>'Calculs hypothécaires'!$H$220</f>
        <v>12934.685629486954</v>
      </c>
      <c r="V40" s="91">
        <f>'Calculs hypothécaires'!$H$232</f>
        <v>11555.929348113876</v>
      </c>
      <c r="W40" s="91">
        <f>'Calculs hypothécaires'!$H$244</f>
        <v>10086.097597129341</v>
      </c>
      <c r="X40" s="91">
        <f>'Calculs hypothécaires'!$H$256</f>
        <v>8519.174272543838</v>
      </c>
      <c r="Y40" s="91">
        <f>'Calculs hypothécaires'!$H$268</f>
        <v>6848.7458690986832</v>
      </c>
      <c r="Z40" s="91">
        <f>'Calculs hypothécaires'!$H$280</f>
        <v>5067.9752294284517</v>
      </c>
      <c r="AA40" s="91">
        <f>'Calculs hypothécaires'!$H$292</f>
        <v>3169.5735591915027</v>
      </c>
      <c r="AB40" s="91">
        <f>'Calculs hypothécaires'!$H$304</f>
        <v>1145.7705936249602</v>
      </c>
      <c r="AC40" s="98"/>
    </row>
    <row r="41" spans="2:29">
      <c r="B41" s="99" t="s">
        <v>83</v>
      </c>
      <c r="C41" s="100">
        <f>SUM(C37:C40)</f>
        <v>5000</v>
      </c>
      <c r="D41" s="101">
        <f>D37+D38+D40</f>
        <v>23278.634232167984</v>
      </c>
      <c r="E41" s="101">
        <f t="shared" ref="E41:AB41" si="4">E37+E38+E40</f>
        <v>23096.072169624316</v>
      </c>
      <c r="F41" s="101">
        <f t="shared" si="4"/>
        <v>22905.361826472086</v>
      </c>
      <c r="G41" s="101">
        <f t="shared" si="4"/>
        <v>22706.18856220899</v>
      </c>
      <c r="H41" s="101">
        <f t="shared" si="4"/>
        <v>22498.226378697622</v>
      </c>
      <c r="I41" s="101">
        <f t="shared" si="4"/>
        <v>34321.404858237191</v>
      </c>
      <c r="J41" s="101">
        <f t="shared" si="4"/>
        <v>33905.923272816137</v>
      </c>
      <c r="K41" s="101">
        <f t="shared" si="4"/>
        <v>33453.108592843848</v>
      </c>
      <c r="L41" s="101">
        <f t="shared" si="4"/>
        <v>32960.277199433775</v>
      </c>
      <c r="M41" s="101">
        <f t="shared" si="4"/>
        <v>32424.56341813672</v>
      </c>
      <c r="N41" s="101">
        <f t="shared" si="4"/>
        <v>31842.907387746414</v>
      </c>
      <c r="O41" s="101">
        <f t="shared" si="4"/>
        <v>31212.042125447373</v>
      </c>
      <c r="P41" s="101">
        <f t="shared" si="4"/>
        <v>30528.479735167799</v>
      </c>
      <c r="Q41" s="101">
        <f t="shared" si="4"/>
        <v>29788.496702488577</v>
      </c>
      <c r="R41" s="101">
        <f t="shared" si="4"/>
        <v>28988.118215716568</v>
      </c>
      <c r="S41" s="101">
        <f t="shared" si="4"/>
        <v>28123.101448739748</v>
      </c>
      <c r="T41" s="101">
        <f t="shared" si="4"/>
        <v>27188.917737028009</v>
      </c>
      <c r="U41" s="101">
        <f t="shared" si="4"/>
        <v>26180.733573607926</v>
      </c>
      <c r="V41" s="101">
        <f t="shared" si="4"/>
        <v>25093.390347005508</v>
      </c>
      <c r="W41" s="101">
        <f t="shared" si="4"/>
        <v>23921.382737996588</v>
      </c>
      <c r="X41" s="101">
        <f t="shared" si="4"/>
        <v>22658.835686510167</v>
      </c>
      <c r="Y41" s="101">
        <f t="shared" si="4"/>
        <v>21299.479834172271</v>
      </c>
      <c r="Z41" s="101">
        <f t="shared" si="4"/>
        <v>19836.625341733659</v>
      </c>
      <c r="AA41" s="101">
        <f t="shared" si="4"/>
        <v>18263.133973967426</v>
      </c>
      <c r="AB41" s="101">
        <f t="shared" si="4"/>
        <v>16571.38933752595</v>
      </c>
      <c r="AC41" s="91"/>
    </row>
    <row r="42" spans="2:29">
      <c r="B42" s="90" t="s">
        <v>7</v>
      </c>
      <c r="C42" s="91">
        <f>C22</f>
        <v>2050</v>
      </c>
      <c r="D42" s="92">
        <v>0</v>
      </c>
      <c r="E42" s="91">
        <v>0</v>
      </c>
      <c r="F42" s="91">
        <v>0</v>
      </c>
      <c r="G42" s="91">
        <v>0</v>
      </c>
      <c r="H42" s="91">
        <v>0</v>
      </c>
      <c r="I42" s="91">
        <v>0</v>
      </c>
      <c r="J42" s="91">
        <v>0</v>
      </c>
      <c r="K42" s="91">
        <v>0</v>
      </c>
      <c r="L42" s="91">
        <v>0</v>
      </c>
      <c r="M42" s="91">
        <v>0</v>
      </c>
      <c r="N42" s="91">
        <v>0</v>
      </c>
      <c r="O42" s="91">
        <v>0</v>
      </c>
      <c r="P42" s="91">
        <v>0</v>
      </c>
      <c r="Q42" s="91">
        <v>0</v>
      </c>
      <c r="R42" s="91">
        <v>0</v>
      </c>
      <c r="S42" s="91">
        <v>0</v>
      </c>
      <c r="T42" s="91">
        <v>0</v>
      </c>
      <c r="U42" s="91">
        <v>0</v>
      </c>
      <c r="V42" s="91">
        <v>0</v>
      </c>
      <c r="W42" s="91">
        <v>0</v>
      </c>
      <c r="X42" s="91">
        <v>0</v>
      </c>
      <c r="Y42" s="91">
        <v>0</v>
      </c>
      <c r="Z42" s="91">
        <v>0</v>
      </c>
      <c r="AA42" s="91">
        <v>0</v>
      </c>
      <c r="AB42" s="91">
        <v>0</v>
      </c>
      <c r="AC42" s="91"/>
    </row>
    <row r="43" spans="2:29">
      <c r="B43" s="90" t="s">
        <v>8</v>
      </c>
      <c r="C43" s="91">
        <f>C8</f>
        <v>500000</v>
      </c>
      <c r="D43" s="92">
        <v>0</v>
      </c>
      <c r="E43" s="91">
        <v>0</v>
      </c>
      <c r="F43" s="91">
        <v>0</v>
      </c>
      <c r="G43" s="91">
        <v>0</v>
      </c>
      <c r="H43" s="91">
        <v>0</v>
      </c>
      <c r="I43" s="91">
        <v>0</v>
      </c>
      <c r="J43" s="91">
        <v>0</v>
      </c>
      <c r="K43" s="91">
        <v>0</v>
      </c>
      <c r="L43" s="91">
        <v>0</v>
      </c>
      <c r="M43" s="91">
        <v>0</v>
      </c>
      <c r="N43" s="91">
        <v>0</v>
      </c>
      <c r="O43" s="91">
        <v>0</v>
      </c>
      <c r="P43" s="91">
        <v>0</v>
      </c>
      <c r="Q43" s="91">
        <v>0</v>
      </c>
      <c r="R43" s="91">
        <v>0</v>
      </c>
      <c r="S43" s="91">
        <v>0</v>
      </c>
      <c r="T43" s="91">
        <v>0</v>
      </c>
      <c r="U43" s="91">
        <v>0</v>
      </c>
      <c r="V43" s="91">
        <v>0</v>
      </c>
      <c r="W43" s="91">
        <v>0</v>
      </c>
      <c r="X43" s="91">
        <v>0</v>
      </c>
      <c r="Y43" s="91">
        <v>0</v>
      </c>
      <c r="Z43" s="91">
        <v>0</v>
      </c>
      <c r="AA43" s="91">
        <v>0</v>
      </c>
      <c r="AB43" s="91">
        <v>0</v>
      </c>
      <c r="AC43" s="91"/>
    </row>
    <row r="44" spans="2:29">
      <c r="B44" s="90" t="s">
        <v>157</v>
      </c>
      <c r="C44" s="91">
        <f>C10</f>
        <v>18000</v>
      </c>
      <c r="D44" s="92"/>
      <c r="E44" s="91"/>
      <c r="F44" s="91"/>
      <c r="G44" s="91"/>
      <c r="H44" s="91"/>
      <c r="I44" s="91"/>
      <c r="J44" s="91"/>
      <c r="K44" s="91"/>
      <c r="L44" s="91"/>
      <c r="M44" s="91"/>
      <c r="N44" s="91"/>
      <c r="O44" s="91"/>
      <c r="P44" s="91"/>
      <c r="Q44" s="91"/>
      <c r="R44" s="91"/>
      <c r="S44" s="91"/>
      <c r="T44" s="91"/>
      <c r="U44" s="91"/>
      <c r="V44" s="91"/>
      <c r="W44" s="91"/>
      <c r="X44" s="91"/>
      <c r="Y44" s="91"/>
      <c r="Z44" s="91"/>
      <c r="AA44" s="91"/>
      <c r="AB44" s="91"/>
      <c r="AC44" s="91"/>
    </row>
    <row r="45" spans="2:29">
      <c r="B45" s="90" t="s">
        <v>82</v>
      </c>
      <c r="C45" s="91"/>
      <c r="D45" s="92">
        <f>D62</f>
        <v>5778.7623202781451</v>
      </c>
      <c r="E45" s="91">
        <f t="shared" ref="E45:AC45" si="5">E62</f>
        <v>3051.3455364236343</v>
      </c>
      <c r="F45" s="91">
        <f t="shared" si="5"/>
        <v>3758.531296640936</v>
      </c>
      <c r="G45" s="91">
        <f t="shared" si="5"/>
        <v>4461.2453158310691</v>
      </c>
      <c r="H45" s="91">
        <f t="shared" si="5"/>
        <v>5160.2014198587385</v>
      </c>
      <c r="I45" s="91">
        <f t="shared" si="5"/>
        <v>2311.1868524383681</v>
      </c>
      <c r="J45" s="91">
        <f t="shared" si="5"/>
        <v>3023.5771763511507</v>
      </c>
      <c r="K45" s="91">
        <f t="shared" si="5"/>
        <v>3748.2359046602915</v>
      </c>
      <c r="L45" s="91">
        <f t="shared" si="5"/>
        <v>4486.6981775158429</v>
      </c>
      <c r="M45" s="91">
        <f t="shared" si="5"/>
        <v>5240.563351001535</v>
      </c>
      <c r="N45" s="91">
        <f t="shared" si="5"/>
        <v>6011.5006432336377</v>
      </c>
      <c r="O45" s="91">
        <f t="shared" si="5"/>
        <v>6801.2550968726764</v>
      </c>
      <c r="P45" s="91">
        <f t="shared" si="5"/>
        <v>7611.6538812243543</v>
      </c>
      <c r="Q45" s="91">
        <f t="shared" si="5"/>
        <v>8444.6129585467661</v>
      </c>
      <c r="R45" s="91">
        <f t="shared" si="5"/>
        <v>9302.1441407202165</v>
      </c>
      <c r="S45" s="91">
        <f t="shared" si="5"/>
        <v>10186.362564080611</v>
      </c>
      <c r="T45" s="91">
        <f t="shared" si="5"/>
        <v>11099.494611973714</v>
      </c>
      <c r="U45" s="91">
        <f t="shared" si="5"/>
        <v>12043.886316463495</v>
      </c>
      <c r="V45" s="91">
        <f t="shared" si="5"/>
        <v>13022.012272630442</v>
      </c>
      <c r="W45" s="91">
        <f t="shared" si="5"/>
        <v>14036.485101033695</v>
      </c>
      <c r="X45" s="91">
        <f t="shared" si="5"/>
        <v>15090.065496193034</v>
      </c>
      <c r="Y45" s="91">
        <f t="shared" si="5"/>
        <v>16185.672901382211</v>
      </c>
      <c r="Z45" s="91">
        <f t="shared" si="5"/>
        <v>17326.396852624232</v>
      </c>
      <c r="AA45" s="91">
        <f t="shared" si="5"/>
        <v>18515.509037552438</v>
      </c>
      <c r="AB45" s="91">
        <f t="shared" si="5"/>
        <v>19756.476117760285</v>
      </c>
      <c r="AC45" s="91">
        <f t="shared" si="5"/>
        <v>154799.5239445474</v>
      </c>
    </row>
    <row r="46" spans="2:29">
      <c r="B46" s="90" t="s">
        <v>9</v>
      </c>
      <c r="C46" s="91"/>
      <c r="D46" s="92">
        <f>'Calculs hypothécaires'!$I16</f>
        <v>11715.948305973201</v>
      </c>
      <c r="E46" s="91">
        <f>'Calculs hypothécaires'!$I28</f>
        <v>12099.81036851689</v>
      </c>
      <c r="F46" s="91">
        <f>'Calculs hypothécaires'!$I40</f>
        <v>12496.249311669148</v>
      </c>
      <c r="G46" s="91">
        <f>'Calculs hypothécaires'!$I52</f>
        <v>12905.677205132204</v>
      </c>
      <c r="H46" s="91">
        <f>'Calculs hypothécaires'!$I64</f>
        <v>13328.519619686005</v>
      </c>
      <c r="I46" s="91">
        <f>'Calculs hypothécaires'!$I76</f>
        <v>9687.5094886727748</v>
      </c>
      <c r="J46" s="91">
        <f>'Calculs hypothécaires'!$I88</f>
        <v>10327.430037334037</v>
      </c>
      <c r="K46" s="91">
        <f>'Calculs hypothécaires'!$I100</f>
        <v>11009.621337737713</v>
      </c>
      <c r="L46" s="91">
        <f>'Calculs hypothécaires'!$I112</f>
        <v>11736.875637228601</v>
      </c>
      <c r="M46" s="91">
        <f>'Calculs hypothécaires'!$I124</f>
        <v>12512.169628540287</v>
      </c>
      <c r="N46" s="91">
        <f>'Calculs hypothécaires'!$I136</f>
        <v>13338.67663356557</v>
      </c>
      <c r="O46" s="91">
        <f>'Calculs hypothécaires'!$I148</f>
        <v>14219.779591941508</v>
      </c>
      <c r="P46" s="91">
        <f>'Calculs hypothécaires'!$I160</f>
        <v>15159.084907611774</v>
      </c>
      <c r="Q46" s="91">
        <f>'Calculs hypothécaires'!$I172</f>
        <v>16160.437210040109</v>
      </c>
      <c r="R46" s="91">
        <f>'Calculs hypothécaires'!$I184</f>
        <v>17227.935090495652</v>
      </c>
      <c r="S46" s="91">
        <f>'Calculs hypothécaires'!$I196</f>
        <v>18365.94787781706</v>
      </c>
      <c r="T46" s="91">
        <f>'Calculs hypothécaires'!$I208</f>
        <v>19579.133522321179</v>
      </c>
      <c r="U46" s="91">
        <f>'Calculs hypothécaires'!$I220</f>
        <v>20872.457661054999</v>
      </c>
      <c r="V46" s="91">
        <f>'Calculs hypothécaires'!$I232</f>
        <v>22251.213942428119</v>
      </c>
      <c r="W46" s="91">
        <f>'Calculs hypothécaires'!$I244</f>
        <v>23721.045693412627</v>
      </c>
      <c r="X46" s="91">
        <f>'Calculs hypothécaires'!$I256</f>
        <v>25287.969017998112</v>
      </c>
      <c r="Y46" s="91">
        <f>'Calculs hypothécaires'!$I268</f>
        <v>26958.397421443267</v>
      </c>
      <c r="Z46" s="91">
        <f>'Calculs hypothécaires'!$I280</f>
        <v>28739.16806111348</v>
      </c>
      <c r="AA46" s="91">
        <f>'Calculs hypothécaires'!$I292</f>
        <v>30637.569731350497</v>
      </c>
      <c r="AB46" s="91">
        <f>'Calculs hypothécaires'!$I304</f>
        <v>32661.372696917031</v>
      </c>
      <c r="AC46" s="91"/>
    </row>
    <row r="47" spans="2:29">
      <c r="B47" s="93" t="s">
        <v>10</v>
      </c>
      <c r="C47" s="94">
        <f>C41+C42+C43+C44+C45+C46</f>
        <v>525050</v>
      </c>
      <c r="D47" s="95">
        <f t="shared" ref="D47:AC47" si="6">D41+D42+D43+D45+D46</f>
        <v>40773.344858419332</v>
      </c>
      <c r="E47" s="94">
        <f t="shared" si="6"/>
        <v>38247.228074564839</v>
      </c>
      <c r="F47" s="94">
        <f t="shared" si="6"/>
        <v>39160.142434782174</v>
      </c>
      <c r="G47" s="94">
        <f t="shared" si="6"/>
        <v>40073.111083172262</v>
      </c>
      <c r="H47" s="94">
        <f t="shared" si="6"/>
        <v>40986.947418242366</v>
      </c>
      <c r="I47" s="94">
        <f t="shared" si="6"/>
        <v>46320.101199348333</v>
      </c>
      <c r="J47" s="94">
        <f t="shared" si="6"/>
        <v>47256.930486501326</v>
      </c>
      <c r="K47" s="94">
        <f t="shared" si="6"/>
        <v>48210.965835241856</v>
      </c>
      <c r="L47" s="94">
        <f t="shared" si="6"/>
        <v>49183.851014178217</v>
      </c>
      <c r="M47" s="94">
        <f t="shared" si="6"/>
        <v>50177.29639767854</v>
      </c>
      <c r="N47" s="94">
        <f t="shared" si="6"/>
        <v>51193.084664545619</v>
      </c>
      <c r="O47" s="94">
        <f t="shared" si="6"/>
        <v>52233.076814261556</v>
      </c>
      <c r="P47" s="94">
        <f t="shared" si="6"/>
        <v>53299.218524003925</v>
      </c>
      <c r="Q47" s="94">
        <f t="shared" si="6"/>
        <v>54393.54687107545</v>
      </c>
      <c r="R47" s="94">
        <f t="shared" si="6"/>
        <v>55518.197446932434</v>
      </c>
      <c r="S47" s="94">
        <f t="shared" si="6"/>
        <v>56675.411890637421</v>
      </c>
      <c r="T47" s="94">
        <f t="shared" si="6"/>
        <v>57867.545871322902</v>
      </c>
      <c r="U47" s="94">
        <f t="shared" si="6"/>
        <v>59097.077551126422</v>
      </c>
      <c r="V47" s="94">
        <f t="shared" si="6"/>
        <v>60366.616562064068</v>
      </c>
      <c r="W47" s="94">
        <f t="shared" si="6"/>
        <v>61678.913532442908</v>
      </c>
      <c r="X47" s="94">
        <f t="shared" si="6"/>
        <v>63036.870200701313</v>
      </c>
      <c r="Y47" s="94">
        <f t="shared" si="6"/>
        <v>64443.55015699775</v>
      </c>
      <c r="Z47" s="94">
        <f t="shared" si="6"/>
        <v>65902.190255471374</v>
      </c>
      <c r="AA47" s="94">
        <f t="shared" si="6"/>
        <v>67416.212742870353</v>
      </c>
      <c r="AB47" s="94">
        <f t="shared" si="6"/>
        <v>68989.238152203267</v>
      </c>
      <c r="AC47" s="94">
        <f t="shared" si="6"/>
        <v>154799.5239445474</v>
      </c>
    </row>
    <row r="48" spans="2:29">
      <c r="B48" s="96"/>
      <c r="C48" s="91"/>
      <c r="D48" s="92"/>
      <c r="E48" s="91"/>
      <c r="F48" s="91"/>
      <c r="G48" s="91"/>
      <c r="H48" s="91"/>
      <c r="I48" s="91"/>
      <c r="J48" s="91"/>
      <c r="K48" s="91"/>
      <c r="L48" s="91"/>
      <c r="M48" s="91"/>
      <c r="N48" s="91"/>
      <c r="O48" s="91"/>
      <c r="P48" s="91"/>
      <c r="Q48" s="91"/>
      <c r="R48" s="91"/>
      <c r="S48" s="91"/>
      <c r="T48" s="91"/>
      <c r="U48" s="91"/>
      <c r="V48" s="91"/>
      <c r="W48" s="91"/>
      <c r="X48" s="91"/>
      <c r="Y48" s="91"/>
      <c r="Z48" s="91"/>
      <c r="AA48" s="91"/>
      <c r="AB48" s="91"/>
      <c r="AC48" s="91"/>
    </row>
    <row r="49" spans="1:30" s="50" customFormat="1">
      <c r="B49" s="102" t="s">
        <v>84</v>
      </c>
      <c r="C49" s="103">
        <f t="shared" ref="C49:AC49" si="7">C35-C47</f>
        <v>-82050</v>
      </c>
      <c r="D49" s="104">
        <f t="shared" si="7"/>
        <v>7726.655141580668</v>
      </c>
      <c r="E49" s="103">
        <f t="shared" si="7"/>
        <v>10980.271925435161</v>
      </c>
      <c r="F49" s="103">
        <f t="shared" si="7"/>
        <v>10805.770065217825</v>
      </c>
      <c r="G49" s="103">
        <f t="shared" si="7"/>
        <v>10642.290104327738</v>
      </c>
      <c r="H49" s="103">
        <f t="shared" si="7"/>
        <v>10489.184787070131</v>
      </c>
      <c r="I49" s="103">
        <f t="shared" si="7"/>
        <v>5928.172989043851</v>
      </c>
      <c r="J49" s="103">
        <f t="shared" si="7"/>
        <v>5775.0678147167419</v>
      </c>
      <c r="K49" s="103">
        <f t="shared" si="7"/>
        <v>5616.51244049448</v>
      </c>
      <c r="L49" s="103">
        <f t="shared" si="7"/>
        <v>5451.0394356941615</v>
      </c>
      <c r="M49" s="103">
        <f t="shared" si="7"/>
        <v>5277.1174089419219</v>
      </c>
      <c r="N49" s="103">
        <f t="shared" si="7"/>
        <v>5093.1453491741486</v>
      </c>
      <c r="O49" s="103">
        <f t="shared" si="7"/>
        <v>4897.4466496640089</v>
      </c>
      <c r="P49" s="103">
        <f t="shared" si="7"/>
        <v>4688.2627918805229</v>
      </c>
      <c r="Q49" s="103">
        <f t="shared" si="7"/>
        <v>4463.7466645472668</v>
      </c>
      <c r="R49" s="103">
        <f t="shared" si="7"/>
        <v>4221.9554917246205</v>
      </c>
      <c r="S49" s="103">
        <f t="shared" si="7"/>
        <v>3960.8433420994916</v>
      </c>
      <c r="T49" s="103">
        <f t="shared" si="7"/>
        <v>3678.2531899050664</v>
      </c>
      <c r="U49" s="103">
        <f t="shared" si="7"/>
        <v>3371.9084960199689</v>
      </c>
      <c r="V49" s="103">
        <f t="shared" si="7"/>
        <v>3039.4042757895222</v>
      </c>
      <c r="W49" s="103">
        <f t="shared" si="7"/>
        <v>2678.1976179784833</v>
      </c>
      <c r="X49" s="103">
        <f t="shared" si="7"/>
        <v>2285.5976169763962</v>
      </c>
      <c r="Y49" s="103">
        <f t="shared" si="7"/>
        <v>1858.7546779451222</v>
      </c>
      <c r="Z49" s="103">
        <f t="shared" si="7"/>
        <v>1394.6491519956471</v>
      </c>
      <c r="AA49" s="103">
        <f t="shared" si="7"/>
        <v>890.07925570866792</v>
      </c>
      <c r="AB49" s="103">
        <f t="shared" si="7"/>
        <v>341.6482263544458</v>
      </c>
      <c r="AC49" s="103">
        <f t="shared" si="7"/>
        <v>570673.1531094315</v>
      </c>
    </row>
    <row r="50" spans="1:30">
      <c r="B50" s="105"/>
      <c r="C50" s="106"/>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row>
    <row r="51" spans="1:30">
      <c r="B51" s="109" t="s">
        <v>73</v>
      </c>
      <c r="C51" s="110">
        <f>IF(C49&lt;0,C49,0)</f>
        <v>-82050</v>
      </c>
      <c r="D51" s="110">
        <f>IF(D49&lt;0,D49,0)</f>
        <v>0</v>
      </c>
      <c r="E51" s="110">
        <f t="shared" ref="E51:AB51" si="8">IF(E49&lt;0,E49,0)</f>
        <v>0</v>
      </c>
      <c r="F51" s="110">
        <f t="shared" si="8"/>
        <v>0</v>
      </c>
      <c r="G51" s="110">
        <f t="shared" si="8"/>
        <v>0</v>
      </c>
      <c r="H51" s="110">
        <f t="shared" si="8"/>
        <v>0</v>
      </c>
      <c r="I51" s="110">
        <f t="shared" si="8"/>
        <v>0</v>
      </c>
      <c r="J51" s="110">
        <f t="shared" si="8"/>
        <v>0</v>
      </c>
      <c r="K51" s="110">
        <f t="shared" si="8"/>
        <v>0</v>
      </c>
      <c r="L51" s="110">
        <f t="shared" si="8"/>
        <v>0</v>
      </c>
      <c r="M51" s="110">
        <f t="shared" si="8"/>
        <v>0</v>
      </c>
      <c r="N51" s="110">
        <f t="shared" si="8"/>
        <v>0</v>
      </c>
      <c r="O51" s="110">
        <f t="shared" si="8"/>
        <v>0</v>
      </c>
      <c r="P51" s="110">
        <f t="shared" si="8"/>
        <v>0</v>
      </c>
      <c r="Q51" s="110">
        <f t="shared" si="8"/>
        <v>0</v>
      </c>
      <c r="R51" s="110">
        <f t="shared" si="8"/>
        <v>0</v>
      </c>
      <c r="S51" s="110">
        <f t="shared" si="8"/>
        <v>0</v>
      </c>
      <c r="T51" s="110">
        <f t="shared" si="8"/>
        <v>0</v>
      </c>
      <c r="U51" s="110">
        <f t="shared" si="8"/>
        <v>0</v>
      </c>
      <c r="V51" s="110">
        <f t="shared" si="8"/>
        <v>0</v>
      </c>
      <c r="W51" s="110">
        <f t="shared" si="8"/>
        <v>0</v>
      </c>
      <c r="X51" s="110">
        <f t="shared" si="8"/>
        <v>0</v>
      </c>
      <c r="Y51" s="110">
        <f t="shared" si="8"/>
        <v>0</v>
      </c>
      <c r="Z51" s="110">
        <f t="shared" si="8"/>
        <v>0</v>
      </c>
      <c r="AA51" s="110">
        <f t="shared" si="8"/>
        <v>0</v>
      </c>
      <c r="AB51" s="110">
        <f t="shared" si="8"/>
        <v>0</v>
      </c>
      <c r="AC51" s="111"/>
      <c r="AD51" s="56"/>
    </row>
    <row r="52" spans="1:30">
      <c r="B52" s="109" t="s">
        <v>74</v>
      </c>
      <c r="C52" s="110">
        <f>IF(C49&gt;0,C49,0)</f>
        <v>0</v>
      </c>
      <c r="D52" s="110">
        <f t="shared" ref="D52:AB52" si="9">IF(D49&gt;0,D49,0)</f>
        <v>7726.655141580668</v>
      </c>
      <c r="E52" s="110">
        <f t="shared" si="9"/>
        <v>10980.271925435161</v>
      </c>
      <c r="F52" s="110">
        <f t="shared" si="9"/>
        <v>10805.770065217825</v>
      </c>
      <c r="G52" s="110">
        <f t="shared" si="9"/>
        <v>10642.290104327738</v>
      </c>
      <c r="H52" s="110">
        <f t="shared" si="9"/>
        <v>10489.184787070131</v>
      </c>
      <c r="I52" s="110">
        <f t="shared" si="9"/>
        <v>5928.172989043851</v>
      </c>
      <c r="J52" s="110">
        <f t="shared" si="9"/>
        <v>5775.0678147167419</v>
      </c>
      <c r="K52" s="110">
        <f t="shared" si="9"/>
        <v>5616.51244049448</v>
      </c>
      <c r="L52" s="110">
        <f t="shared" si="9"/>
        <v>5451.0394356941615</v>
      </c>
      <c r="M52" s="110">
        <f t="shared" si="9"/>
        <v>5277.1174089419219</v>
      </c>
      <c r="N52" s="110">
        <f t="shared" si="9"/>
        <v>5093.1453491741486</v>
      </c>
      <c r="O52" s="110">
        <f t="shared" si="9"/>
        <v>4897.4466496640089</v>
      </c>
      <c r="P52" s="110">
        <f t="shared" si="9"/>
        <v>4688.2627918805229</v>
      </c>
      <c r="Q52" s="110">
        <f t="shared" si="9"/>
        <v>4463.7466645472668</v>
      </c>
      <c r="R52" s="110">
        <f t="shared" si="9"/>
        <v>4221.9554917246205</v>
      </c>
      <c r="S52" s="110">
        <f t="shared" si="9"/>
        <v>3960.8433420994916</v>
      </c>
      <c r="T52" s="110">
        <f t="shared" si="9"/>
        <v>3678.2531899050664</v>
      </c>
      <c r="U52" s="110">
        <f t="shared" si="9"/>
        <v>3371.9084960199689</v>
      </c>
      <c r="V52" s="110">
        <f t="shared" si="9"/>
        <v>3039.4042757895222</v>
      </c>
      <c r="W52" s="110">
        <f t="shared" si="9"/>
        <v>2678.1976179784833</v>
      </c>
      <c r="X52" s="110">
        <f t="shared" si="9"/>
        <v>2285.5976169763962</v>
      </c>
      <c r="Y52" s="110">
        <f t="shared" si="9"/>
        <v>1858.7546779451222</v>
      </c>
      <c r="Z52" s="110">
        <f t="shared" si="9"/>
        <v>1394.6491519956471</v>
      </c>
      <c r="AA52" s="110">
        <f t="shared" si="9"/>
        <v>890.07925570866792</v>
      </c>
      <c r="AB52" s="110">
        <f t="shared" si="9"/>
        <v>341.6482263544458</v>
      </c>
      <c r="AC52" s="111"/>
      <c r="AD52" s="56"/>
    </row>
    <row r="53" spans="1:30" s="70" customFormat="1" ht="12" customHeight="1">
      <c r="A53" s="69"/>
      <c r="B53" s="112"/>
      <c r="C53" s="113"/>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3"/>
      <c r="AD53" s="69"/>
    </row>
    <row r="54" spans="1:30" s="153" customFormat="1" ht="12" customHeight="1">
      <c r="A54" s="151"/>
      <c r="B54" s="154" t="s">
        <v>153</v>
      </c>
      <c r="C54" s="155">
        <f>C7</f>
        <v>550000</v>
      </c>
      <c r="D54" s="155">
        <f>C54*(1+$D$27)</f>
        <v>558250</v>
      </c>
      <c r="E54" s="155">
        <f>D54*(1+$D$27)</f>
        <v>566623.75</v>
      </c>
      <c r="F54" s="155">
        <f t="shared" ref="F54:AB54" si="10">E54*(1+$D$27)</f>
        <v>575123.10624999995</v>
      </c>
      <c r="G54" s="155">
        <f t="shared" si="10"/>
        <v>583749.9528437499</v>
      </c>
      <c r="H54" s="155">
        <f t="shared" si="10"/>
        <v>592506.20213640609</v>
      </c>
      <c r="I54" s="155">
        <f t="shared" si="10"/>
        <v>601393.79516845208</v>
      </c>
      <c r="J54" s="155">
        <f t="shared" si="10"/>
        <v>610414.70209597878</v>
      </c>
      <c r="K54" s="155">
        <f t="shared" si="10"/>
        <v>619570.92262741842</v>
      </c>
      <c r="L54" s="155">
        <f t="shared" si="10"/>
        <v>628864.48646682967</v>
      </c>
      <c r="M54" s="155">
        <f t="shared" si="10"/>
        <v>638297.45376383211</v>
      </c>
      <c r="N54" s="155">
        <f t="shared" si="10"/>
        <v>647871.91557028948</v>
      </c>
      <c r="O54" s="155">
        <f t="shared" si="10"/>
        <v>657589.9943038437</v>
      </c>
      <c r="P54" s="155">
        <f t="shared" si="10"/>
        <v>667453.84421840124</v>
      </c>
      <c r="Q54" s="155">
        <f t="shared" si="10"/>
        <v>677465.65188167721</v>
      </c>
      <c r="R54" s="155">
        <f t="shared" si="10"/>
        <v>687627.63665990229</v>
      </c>
      <c r="S54" s="155">
        <f t="shared" si="10"/>
        <v>697942.05120980076</v>
      </c>
      <c r="T54" s="155">
        <f t="shared" si="10"/>
        <v>708411.18197794771</v>
      </c>
      <c r="U54" s="155">
        <f t="shared" si="10"/>
        <v>719037.34970761684</v>
      </c>
      <c r="V54" s="155">
        <f t="shared" si="10"/>
        <v>729822.90995323099</v>
      </c>
      <c r="W54" s="155">
        <f t="shared" si="10"/>
        <v>740770.25360252941</v>
      </c>
      <c r="X54" s="155">
        <f t="shared" si="10"/>
        <v>751881.80740656727</v>
      </c>
      <c r="Y54" s="155">
        <f t="shared" si="10"/>
        <v>763160.03451766574</v>
      </c>
      <c r="Z54" s="155">
        <f t="shared" si="10"/>
        <v>774607.43503543071</v>
      </c>
      <c r="AA54" s="155">
        <f t="shared" si="10"/>
        <v>786226.5465609621</v>
      </c>
      <c r="AB54" s="155">
        <f t="shared" si="10"/>
        <v>798019.94475937646</v>
      </c>
      <c r="AC54" s="152"/>
      <c r="AD54" s="151"/>
    </row>
    <row r="55" spans="1:30" s="153" customFormat="1" ht="12" customHeight="1">
      <c r="A55" s="151"/>
      <c r="B55" s="154" t="s">
        <v>151</v>
      </c>
      <c r="C55" s="155">
        <f>C54-'Calculs hypothécaires'!E16</f>
        <v>118715.9483059732</v>
      </c>
      <c r="D55" s="155">
        <f>D54-'Calculs hypothécaires'!E16</f>
        <v>126965.9483059732</v>
      </c>
      <c r="E55" s="155">
        <f>E54-'Calculs hypothécaires'!E28</f>
        <v>147439.50867449009</v>
      </c>
      <c r="F55" s="155">
        <f>F54-'Calculs hypothécaires'!E40</f>
        <v>168435.11423615919</v>
      </c>
      <c r="G55" s="155">
        <f>G54-'Calculs hypothécaires'!E52</f>
        <v>189967.63803504134</v>
      </c>
      <c r="H55" s="156">
        <f>H54-'Calculs hypothécaires'!E64</f>
        <v>212052.40694738354</v>
      </c>
      <c r="I55" s="155">
        <f>I54-'Calculs hypothécaires'!E76</f>
        <v>230627.5094681023</v>
      </c>
      <c r="J55" s="155">
        <f>J54-'Calculs hypothécaires'!E88</f>
        <v>249975.84643296304</v>
      </c>
      <c r="K55" s="155">
        <f>K54-'Calculs hypothécaires'!E100</f>
        <v>270141.68830214039</v>
      </c>
      <c r="L55" s="155">
        <f>L54-'Calculs hypothécaires'!E112</f>
        <v>291172.12777878024</v>
      </c>
      <c r="M55" s="155">
        <f>M54-'Calculs hypothécaires'!E124</f>
        <v>313117.26470432297</v>
      </c>
      <c r="N55" s="155">
        <f>N54-'Calculs hypothécaires'!E136</f>
        <v>336030.40314434591</v>
      </c>
      <c r="O55" s="155">
        <f>O54-'Calculs hypothécaires'!E148</f>
        <v>359968.26146984164</v>
      </c>
      <c r="P55" s="155">
        <f>P54-'Calculs hypothécaires'!E160</f>
        <v>384991.19629201095</v>
      </c>
      <c r="Q55" s="155">
        <f>Q54-'Calculs hypothécaires'!E172</f>
        <v>411163.44116532704</v>
      </c>
      <c r="R55" s="155">
        <f>R54-'Calculs hypothécaires'!E184</f>
        <v>438553.36103404779</v>
      </c>
      <c r="S55" s="155">
        <f>S54-'Calculs hypothécaires'!E196</f>
        <v>467233.72346176329</v>
      </c>
      <c r="T55" s="155">
        <f>T54-'Calculs hypothécaires'!E208</f>
        <v>497281.98775223142</v>
      </c>
      <c r="U55" s="155">
        <f>U54-'Calculs hypothécaires'!E220</f>
        <v>528780.61314295558</v>
      </c>
      <c r="V55" s="155">
        <f>V54-'Calculs hypothécaires'!E232</f>
        <v>561817.38733099785</v>
      </c>
      <c r="W55" s="155">
        <f>W54-'Calculs hypothécaires'!E244</f>
        <v>596485.77667370881</v>
      </c>
      <c r="X55" s="155">
        <f>X54-'Calculs hypothécaires'!E256</f>
        <v>632885.29949574487</v>
      </c>
      <c r="Y55" s="155">
        <f>Y54-'Calculs hypothécaires'!E268</f>
        <v>671121.92402828659</v>
      </c>
      <c r="Z55" s="155">
        <f>Z54-'Calculs hypothécaires'!E280</f>
        <v>711308.49260716501</v>
      </c>
      <c r="AA55" s="155">
        <f>AA54-'Calculs hypothécaires'!E292</f>
        <v>753565.17386404693</v>
      </c>
      <c r="AB55" s="155">
        <f>AB54-'Calculs hypothécaires'!E304</f>
        <v>798019.94475937833</v>
      </c>
      <c r="AC55" s="152"/>
      <c r="AD55" s="151"/>
    </row>
    <row r="56" spans="1:30" s="70" customFormat="1" ht="12" customHeight="1">
      <c r="A56" s="69"/>
      <c r="B56" s="112"/>
      <c r="C56" s="113"/>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3"/>
      <c r="AD56" s="69"/>
    </row>
    <row r="57" spans="1:30">
      <c r="B57" s="83" t="s">
        <v>48</v>
      </c>
      <c r="C57" s="84"/>
      <c r="D57" s="115"/>
      <c r="E57" s="83"/>
      <c r="F57" s="83"/>
      <c r="G57" s="83"/>
      <c r="H57" s="83"/>
      <c r="I57" s="83"/>
      <c r="J57" s="83"/>
      <c r="K57" s="83"/>
      <c r="L57" s="83"/>
      <c r="M57" s="83"/>
      <c r="N57" s="83"/>
      <c r="O57" s="83"/>
      <c r="P57" s="83"/>
      <c r="Q57" s="83"/>
      <c r="R57" s="83"/>
      <c r="S57" s="83"/>
      <c r="T57" s="83"/>
      <c r="U57" s="83"/>
      <c r="V57" s="83"/>
      <c r="W57" s="83"/>
      <c r="X57" s="83"/>
      <c r="Y57" s="83"/>
      <c r="Z57" s="83"/>
      <c r="AA57" s="83"/>
      <c r="AB57" s="83"/>
      <c r="AC57" s="83"/>
    </row>
    <row r="58" spans="1:30">
      <c r="B58" s="116" t="s">
        <v>47</v>
      </c>
      <c r="C58" s="117">
        <v>0</v>
      </c>
      <c r="D58" s="92">
        <f t="shared" ref="D58:AB58" si="11">D35-(D41-C61)</f>
        <v>25221.365767832016</v>
      </c>
      <c r="E58" s="91">
        <f t="shared" si="11"/>
        <v>26131.427830375684</v>
      </c>
      <c r="F58" s="91">
        <f t="shared" si="11"/>
        <v>27060.550673527912</v>
      </c>
      <c r="G58" s="91">
        <f t="shared" si="11"/>
        <v>28009.212625291009</v>
      </c>
      <c r="H58" s="91">
        <f t="shared" si="11"/>
        <v>28977.905826614875</v>
      </c>
      <c r="I58" s="91">
        <f t="shared" si="11"/>
        <v>17926.869330154994</v>
      </c>
      <c r="J58" s="91">
        <f t="shared" si="11"/>
        <v>19126.07502840193</v>
      </c>
      <c r="K58" s="91">
        <f t="shared" si="11"/>
        <v>20374.369682892488</v>
      </c>
      <c r="L58" s="91">
        <f t="shared" si="11"/>
        <v>21674.613250438604</v>
      </c>
      <c r="M58" s="91">
        <f t="shared" si="11"/>
        <v>23029.850388483741</v>
      </c>
      <c r="N58" s="91">
        <f t="shared" si="11"/>
        <v>24443.322625973353</v>
      </c>
      <c r="O58" s="91">
        <f t="shared" si="11"/>
        <v>25918.481338478192</v>
      </c>
      <c r="P58" s="91">
        <f t="shared" si="11"/>
        <v>27459.001580716649</v>
      </c>
      <c r="Q58" s="91">
        <f t="shared" si="11"/>
        <v>29068.79683313414</v>
      </c>
      <c r="R58" s="91">
        <f t="shared" si="11"/>
        <v>30752.034722940487</v>
      </c>
      <c r="S58" s="91">
        <f t="shared" si="11"/>
        <v>32513.153783997164</v>
      </c>
      <c r="T58" s="91">
        <f t="shared" si="11"/>
        <v>34356.88132419996</v>
      </c>
      <c r="U58" s="91">
        <f t="shared" si="11"/>
        <v>36288.252473538465</v>
      </c>
      <c r="V58" s="91">
        <f t="shared" si="11"/>
        <v>38312.630490848082</v>
      </c>
      <c r="W58" s="91">
        <f t="shared" si="11"/>
        <v>40435.728412424804</v>
      </c>
      <c r="X58" s="91">
        <f t="shared" si="11"/>
        <v>42663.632131167542</v>
      </c>
      <c r="Y58" s="91">
        <f t="shared" si="11"/>
        <v>45002.825000770601</v>
      </c>
      <c r="Z58" s="91">
        <f t="shared" si="11"/>
        <v>47460.214065733366</v>
      </c>
      <c r="AA58" s="91">
        <f t="shared" si="11"/>
        <v>50043.158024611592</v>
      </c>
      <c r="AB58" s="91">
        <f t="shared" si="11"/>
        <v>52759.497041031762</v>
      </c>
      <c r="AC58" s="91">
        <f>((AC34-C43)/2)+(AC33)</f>
        <v>368570.29510606523</v>
      </c>
    </row>
    <row r="59" spans="1:30">
      <c r="B59" s="118" t="s">
        <v>49</v>
      </c>
      <c r="C59" s="117">
        <v>0</v>
      </c>
      <c r="D59" s="92">
        <f>D68</f>
        <v>11462.407862407861</v>
      </c>
      <c r="E59" s="91">
        <f>E68</f>
        <v>18866.319410319411</v>
      </c>
      <c r="F59" s="91">
        <f t="shared" ref="F59:AB59" si="12">F68</f>
        <v>18111.666633906636</v>
      </c>
      <c r="G59" s="91">
        <f t="shared" si="12"/>
        <v>17387.199968550369</v>
      </c>
      <c r="H59" s="91">
        <f t="shared" si="12"/>
        <v>16691.711969808355</v>
      </c>
      <c r="I59" s="91">
        <f t="shared" si="12"/>
        <v>12424.043491016022</v>
      </c>
      <c r="J59" s="91">
        <f t="shared" si="12"/>
        <v>11927.081751375381</v>
      </c>
      <c r="K59" s="91">
        <f t="shared" si="12"/>
        <v>11449.998481320365</v>
      </c>
      <c r="L59" s="91">
        <f t="shared" si="12"/>
        <v>10991.998542067549</v>
      </c>
      <c r="M59" s="91">
        <f t="shared" si="12"/>
        <v>10552.318600384848</v>
      </c>
      <c r="N59" s="91">
        <f t="shared" si="12"/>
        <v>10130.225856369454</v>
      </c>
      <c r="O59" s="91">
        <f t="shared" si="12"/>
        <v>9725.016822114676</v>
      </c>
      <c r="P59" s="91">
        <f t="shared" si="12"/>
        <v>9336.0161492300886</v>
      </c>
      <c r="Q59" s="91">
        <f t="shared" si="12"/>
        <v>8962.5755032608849</v>
      </c>
      <c r="R59" s="91">
        <f t="shared" si="12"/>
        <v>8604.0724831304487</v>
      </c>
      <c r="S59" s="91">
        <f t="shared" si="12"/>
        <v>8259.9095838052308</v>
      </c>
      <c r="T59" s="91">
        <f t="shared" si="12"/>
        <v>7929.5132004530215</v>
      </c>
      <c r="U59" s="91">
        <f t="shared" si="12"/>
        <v>7612.3326724349008</v>
      </c>
      <c r="V59" s="91">
        <f t="shared" si="12"/>
        <v>7307.8393655375057</v>
      </c>
      <c r="W59" s="91">
        <f t="shared" si="12"/>
        <v>7015.5257909160055</v>
      </c>
      <c r="X59" s="91">
        <f t="shared" si="12"/>
        <v>6734.904759279365</v>
      </c>
      <c r="Y59" s="91">
        <f t="shared" si="12"/>
        <v>6465.5085689081907</v>
      </c>
      <c r="Z59" s="91">
        <f t="shared" si="12"/>
        <v>6206.888226151862</v>
      </c>
      <c r="AA59" s="91">
        <f t="shared" si="12"/>
        <v>5958.6126971057874</v>
      </c>
      <c r="AB59" s="91">
        <f t="shared" si="12"/>
        <v>5720.2681892215551</v>
      </c>
      <c r="AC59" s="91"/>
    </row>
    <row r="60" spans="1:30">
      <c r="B60" s="116" t="s">
        <v>53</v>
      </c>
      <c r="C60" s="117">
        <v>0</v>
      </c>
      <c r="D60" s="92">
        <f t="shared" ref="D60:AB60" si="13">D58-D59</f>
        <v>13758.957905424155</v>
      </c>
      <c r="E60" s="91">
        <f t="shared" si="13"/>
        <v>7265.1084200562727</v>
      </c>
      <c r="F60" s="91">
        <f t="shared" si="13"/>
        <v>8948.8840396212763</v>
      </c>
      <c r="G60" s="91">
        <f t="shared" si="13"/>
        <v>10622.012656740641</v>
      </c>
      <c r="H60" s="91">
        <f t="shared" si="13"/>
        <v>12286.19385680652</v>
      </c>
      <c r="I60" s="91">
        <f t="shared" si="13"/>
        <v>5502.8258391389718</v>
      </c>
      <c r="J60" s="91">
        <f t="shared" si="13"/>
        <v>7198.9932770265495</v>
      </c>
      <c r="K60" s="91">
        <f t="shared" si="13"/>
        <v>8924.371201572123</v>
      </c>
      <c r="L60" s="91">
        <f t="shared" si="13"/>
        <v>10682.614708371055</v>
      </c>
      <c r="M60" s="91">
        <f t="shared" si="13"/>
        <v>12477.531788098893</v>
      </c>
      <c r="N60" s="91">
        <f t="shared" si="13"/>
        <v>14313.096769603899</v>
      </c>
      <c r="O60" s="91">
        <f t="shared" si="13"/>
        <v>16193.464516363516</v>
      </c>
      <c r="P60" s="91">
        <f t="shared" si="13"/>
        <v>18122.985431486559</v>
      </c>
      <c r="Q60" s="91">
        <f t="shared" si="13"/>
        <v>20106.221329873253</v>
      </c>
      <c r="R60" s="91">
        <f t="shared" si="13"/>
        <v>22147.96223981004</v>
      </c>
      <c r="S60" s="91">
        <f t="shared" si="13"/>
        <v>24253.244200191933</v>
      </c>
      <c r="T60" s="91">
        <f t="shared" si="13"/>
        <v>26427.368123746939</v>
      </c>
      <c r="U60" s="91">
        <f t="shared" si="13"/>
        <v>28675.919801103562</v>
      </c>
      <c r="V60" s="91">
        <f t="shared" si="13"/>
        <v>31004.791125310578</v>
      </c>
      <c r="W60" s="91">
        <f t="shared" si="13"/>
        <v>33420.202621508797</v>
      </c>
      <c r="X60" s="91">
        <f t="shared" si="13"/>
        <v>35928.727371888177</v>
      </c>
      <c r="Y60" s="91">
        <f t="shared" si="13"/>
        <v>38537.316431862411</v>
      </c>
      <c r="Z60" s="91">
        <f t="shared" si="13"/>
        <v>41253.325839581506</v>
      </c>
      <c r="AA60" s="91">
        <f t="shared" si="13"/>
        <v>44084.545327505803</v>
      </c>
      <c r="AB60" s="91">
        <f t="shared" si="13"/>
        <v>47039.228851810207</v>
      </c>
      <c r="AC60" s="91"/>
    </row>
    <row r="61" spans="1:30">
      <c r="B61" s="116" t="s">
        <v>54</v>
      </c>
      <c r="C61" s="117">
        <v>0</v>
      </c>
      <c r="D61" s="92">
        <f t="shared" ref="D61:AB61" si="14">IF(D60&gt;0,0,D60)</f>
        <v>0</v>
      </c>
      <c r="E61" s="91">
        <f t="shared" si="14"/>
        <v>0</v>
      </c>
      <c r="F61" s="91">
        <f t="shared" si="14"/>
        <v>0</v>
      </c>
      <c r="G61" s="91">
        <f t="shared" si="14"/>
        <v>0</v>
      </c>
      <c r="H61" s="91">
        <f t="shared" si="14"/>
        <v>0</v>
      </c>
      <c r="I61" s="91">
        <f t="shared" si="14"/>
        <v>0</v>
      </c>
      <c r="J61" s="91">
        <f t="shared" si="14"/>
        <v>0</v>
      </c>
      <c r="K61" s="91">
        <f t="shared" si="14"/>
        <v>0</v>
      </c>
      <c r="L61" s="91">
        <f t="shared" si="14"/>
        <v>0</v>
      </c>
      <c r="M61" s="91">
        <f t="shared" si="14"/>
        <v>0</v>
      </c>
      <c r="N61" s="91">
        <f t="shared" si="14"/>
        <v>0</v>
      </c>
      <c r="O61" s="91">
        <f t="shared" si="14"/>
        <v>0</v>
      </c>
      <c r="P61" s="91">
        <f t="shared" si="14"/>
        <v>0</v>
      </c>
      <c r="Q61" s="91">
        <f t="shared" si="14"/>
        <v>0</v>
      </c>
      <c r="R61" s="91">
        <f t="shared" si="14"/>
        <v>0</v>
      </c>
      <c r="S61" s="91">
        <f t="shared" si="14"/>
        <v>0</v>
      </c>
      <c r="T61" s="91">
        <f t="shared" si="14"/>
        <v>0</v>
      </c>
      <c r="U61" s="91">
        <f t="shared" si="14"/>
        <v>0</v>
      </c>
      <c r="V61" s="91">
        <f t="shared" si="14"/>
        <v>0</v>
      </c>
      <c r="W61" s="91">
        <f t="shared" si="14"/>
        <v>0</v>
      </c>
      <c r="X61" s="91">
        <f t="shared" si="14"/>
        <v>0</v>
      </c>
      <c r="Y61" s="91">
        <f t="shared" si="14"/>
        <v>0</v>
      </c>
      <c r="Z61" s="91">
        <f t="shared" si="14"/>
        <v>0</v>
      </c>
      <c r="AA61" s="91">
        <f t="shared" si="14"/>
        <v>0</v>
      </c>
      <c r="AB61" s="91">
        <f t="shared" si="14"/>
        <v>0</v>
      </c>
      <c r="AC61" s="91"/>
    </row>
    <row r="62" spans="1:30">
      <c r="B62" s="116" t="s">
        <v>55</v>
      </c>
      <c r="C62" s="117">
        <v>0</v>
      </c>
      <c r="D62" s="92">
        <f>(IF(D60&lt;0,0,D60))*$C$20</f>
        <v>5778.7623202781451</v>
      </c>
      <c r="E62" s="92">
        <f t="shared" ref="E62:AB62" si="15">(IF(E60&lt;0,0,E60))*$C$20</f>
        <v>3051.3455364236343</v>
      </c>
      <c r="F62" s="92">
        <f t="shared" si="15"/>
        <v>3758.531296640936</v>
      </c>
      <c r="G62" s="92">
        <f t="shared" si="15"/>
        <v>4461.2453158310691</v>
      </c>
      <c r="H62" s="92">
        <f t="shared" si="15"/>
        <v>5160.2014198587385</v>
      </c>
      <c r="I62" s="92">
        <f t="shared" si="15"/>
        <v>2311.1868524383681</v>
      </c>
      <c r="J62" s="92">
        <f t="shared" si="15"/>
        <v>3023.5771763511507</v>
      </c>
      <c r="K62" s="92">
        <f t="shared" si="15"/>
        <v>3748.2359046602915</v>
      </c>
      <c r="L62" s="92">
        <f t="shared" si="15"/>
        <v>4486.6981775158429</v>
      </c>
      <c r="M62" s="92">
        <f t="shared" si="15"/>
        <v>5240.563351001535</v>
      </c>
      <c r="N62" s="92">
        <f t="shared" si="15"/>
        <v>6011.5006432336377</v>
      </c>
      <c r="O62" s="92">
        <f t="shared" si="15"/>
        <v>6801.2550968726764</v>
      </c>
      <c r="P62" s="92">
        <f t="shared" si="15"/>
        <v>7611.6538812243543</v>
      </c>
      <c r="Q62" s="92">
        <f t="shared" si="15"/>
        <v>8444.6129585467661</v>
      </c>
      <c r="R62" s="92">
        <f t="shared" si="15"/>
        <v>9302.1441407202165</v>
      </c>
      <c r="S62" s="92">
        <f t="shared" si="15"/>
        <v>10186.362564080611</v>
      </c>
      <c r="T62" s="92">
        <f t="shared" si="15"/>
        <v>11099.494611973714</v>
      </c>
      <c r="U62" s="92">
        <f t="shared" si="15"/>
        <v>12043.886316463495</v>
      </c>
      <c r="V62" s="92">
        <f t="shared" si="15"/>
        <v>13022.012272630442</v>
      </c>
      <c r="W62" s="92">
        <f t="shared" si="15"/>
        <v>14036.485101033695</v>
      </c>
      <c r="X62" s="92">
        <f t="shared" si="15"/>
        <v>15090.065496193034</v>
      </c>
      <c r="Y62" s="92">
        <f t="shared" si="15"/>
        <v>16185.672901382211</v>
      </c>
      <c r="Z62" s="92">
        <f t="shared" si="15"/>
        <v>17326.396852624232</v>
      </c>
      <c r="AA62" s="92">
        <f t="shared" si="15"/>
        <v>18515.509037552438</v>
      </c>
      <c r="AB62" s="92">
        <f t="shared" si="15"/>
        <v>19756.476117760285</v>
      </c>
      <c r="AC62" s="91">
        <f>AC58*C20</f>
        <v>154799.5239445474</v>
      </c>
    </row>
    <row r="63" spans="1:30">
      <c r="B63" s="9"/>
      <c r="C63" s="119"/>
      <c r="D63" s="120"/>
      <c r="E63" s="9"/>
      <c r="F63" s="9"/>
      <c r="G63" s="9"/>
      <c r="H63" s="9"/>
      <c r="I63" s="9"/>
      <c r="J63" s="9"/>
      <c r="K63" s="9"/>
      <c r="L63" s="9"/>
      <c r="M63" s="9"/>
      <c r="N63" s="9"/>
      <c r="O63" s="9"/>
      <c r="P63" s="9"/>
      <c r="Q63" s="9"/>
      <c r="R63" s="9"/>
      <c r="S63" s="9"/>
      <c r="T63" s="9"/>
      <c r="U63" s="9"/>
      <c r="V63" s="9"/>
      <c r="W63" s="9"/>
      <c r="X63" s="9"/>
      <c r="Y63" s="9"/>
      <c r="Z63" s="9"/>
      <c r="AA63" s="9"/>
      <c r="AB63" s="9"/>
      <c r="AC63" s="9"/>
    </row>
    <row r="64" spans="1:30">
      <c r="B64" s="83" t="s">
        <v>58</v>
      </c>
      <c r="C64" s="84"/>
      <c r="D64" s="115"/>
      <c r="E64" s="83"/>
      <c r="F64" s="83"/>
      <c r="G64" s="83"/>
      <c r="H64" s="83"/>
      <c r="I64" s="83"/>
      <c r="J64" s="83"/>
      <c r="K64" s="83"/>
      <c r="L64" s="83"/>
      <c r="M64" s="83"/>
      <c r="N64" s="83"/>
      <c r="O64" s="83"/>
      <c r="P64" s="83"/>
      <c r="Q64" s="83"/>
      <c r="R64" s="83"/>
      <c r="S64" s="83"/>
      <c r="T64" s="83"/>
      <c r="U64" s="83"/>
      <c r="V64" s="83"/>
      <c r="W64" s="83"/>
      <c r="X64" s="83"/>
      <c r="Y64" s="83"/>
      <c r="Z64" s="83"/>
      <c r="AA64" s="83"/>
      <c r="AB64" s="83"/>
      <c r="AC64" s="83"/>
    </row>
    <row r="65" spans="2:29">
      <c r="B65" s="116" t="s">
        <v>57</v>
      </c>
      <c r="C65" s="91">
        <f>C26</f>
        <v>393120.3931203931</v>
      </c>
      <c r="D65" s="92">
        <f t="shared" ref="D65:AB65" si="16">C65-D68</f>
        <v>381657.98525798524</v>
      </c>
      <c r="E65" s="91">
        <f t="shared" si="16"/>
        <v>362791.66584766586</v>
      </c>
      <c r="F65" s="91">
        <f t="shared" si="16"/>
        <v>344679.99921375921</v>
      </c>
      <c r="G65" s="91">
        <f t="shared" si="16"/>
        <v>327292.79924520885</v>
      </c>
      <c r="H65" s="91">
        <f t="shared" si="16"/>
        <v>310601.08727540052</v>
      </c>
      <c r="I65" s="91">
        <f t="shared" si="16"/>
        <v>298177.0437843845</v>
      </c>
      <c r="J65" s="91">
        <f t="shared" si="16"/>
        <v>286249.9620330091</v>
      </c>
      <c r="K65" s="91">
        <f t="shared" si="16"/>
        <v>274799.96355168871</v>
      </c>
      <c r="L65" s="91">
        <f t="shared" si="16"/>
        <v>263807.96500962117</v>
      </c>
      <c r="M65" s="91">
        <f t="shared" si="16"/>
        <v>253255.64640923633</v>
      </c>
      <c r="N65" s="91">
        <f t="shared" si="16"/>
        <v>243125.42055286688</v>
      </c>
      <c r="O65" s="91">
        <f t="shared" si="16"/>
        <v>233400.40373075221</v>
      </c>
      <c r="P65" s="91">
        <f t="shared" si="16"/>
        <v>224064.38758152211</v>
      </c>
      <c r="Q65" s="91">
        <f t="shared" si="16"/>
        <v>215101.81207826122</v>
      </c>
      <c r="R65" s="91">
        <f t="shared" si="16"/>
        <v>206497.73959513078</v>
      </c>
      <c r="S65" s="91">
        <f t="shared" si="16"/>
        <v>198237.83001132554</v>
      </c>
      <c r="T65" s="91">
        <f t="shared" si="16"/>
        <v>190308.31681087252</v>
      </c>
      <c r="U65" s="91">
        <f t="shared" si="16"/>
        <v>182695.98413843763</v>
      </c>
      <c r="V65" s="91">
        <f t="shared" si="16"/>
        <v>175388.14477290012</v>
      </c>
      <c r="W65" s="91">
        <f t="shared" si="16"/>
        <v>168372.61898198412</v>
      </c>
      <c r="X65" s="91">
        <f t="shared" si="16"/>
        <v>161637.71422270476</v>
      </c>
      <c r="Y65" s="91">
        <f t="shared" si="16"/>
        <v>155172.20565379655</v>
      </c>
      <c r="Z65" s="91">
        <f t="shared" si="16"/>
        <v>148965.31742764468</v>
      </c>
      <c r="AA65" s="91">
        <f t="shared" si="16"/>
        <v>143006.70473053888</v>
      </c>
      <c r="AB65" s="91">
        <f t="shared" si="16"/>
        <v>137286.43654131732</v>
      </c>
      <c r="AC65" s="121"/>
    </row>
    <row r="66" spans="2:29">
      <c r="B66" s="116" t="s">
        <v>157</v>
      </c>
      <c r="C66" s="91"/>
      <c r="D66" s="92">
        <f>$C$10*0.2</f>
        <v>3600</v>
      </c>
      <c r="E66" s="92">
        <f t="shared" ref="E66:H66" si="17">$C$10*0.2</f>
        <v>3600</v>
      </c>
      <c r="F66" s="92">
        <f t="shared" si="17"/>
        <v>3600</v>
      </c>
      <c r="G66" s="92">
        <f t="shared" si="17"/>
        <v>3600</v>
      </c>
      <c r="H66" s="92">
        <f t="shared" si="17"/>
        <v>3600</v>
      </c>
      <c r="I66" s="91"/>
      <c r="J66" s="91"/>
      <c r="K66" s="91"/>
      <c r="L66" s="91"/>
      <c r="M66" s="91"/>
      <c r="N66" s="91"/>
      <c r="O66" s="91"/>
      <c r="P66" s="91"/>
      <c r="Q66" s="91"/>
      <c r="R66" s="91"/>
      <c r="S66" s="91"/>
      <c r="T66" s="91"/>
      <c r="U66" s="91"/>
      <c r="V66" s="91"/>
      <c r="W66" s="91"/>
      <c r="X66" s="91"/>
      <c r="Y66" s="91"/>
      <c r="Z66" s="91"/>
      <c r="AA66" s="91"/>
      <c r="AB66" s="91"/>
      <c r="AC66" s="121"/>
    </row>
    <row r="67" spans="2:29">
      <c r="B67" s="116" t="s">
        <v>158</v>
      </c>
      <c r="C67" s="91"/>
      <c r="D67" s="92">
        <f>SUM(D65:D66)</f>
        <v>385257.98525798524</v>
      </c>
      <c r="E67" s="92">
        <f t="shared" ref="E67:AB67" si="18">SUM(E65:E66)</f>
        <v>366391.66584766586</v>
      </c>
      <c r="F67" s="92">
        <f t="shared" si="18"/>
        <v>348279.99921375921</v>
      </c>
      <c r="G67" s="92">
        <f t="shared" si="18"/>
        <v>330892.79924520885</v>
      </c>
      <c r="H67" s="92">
        <f t="shared" si="18"/>
        <v>314201.08727540052</v>
      </c>
      <c r="I67" s="92">
        <f t="shared" si="18"/>
        <v>298177.0437843845</v>
      </c>
      <c r="J67" s="92">
        <f t="shared" si="18"/>
        <v>286249.9620330091</v>
      </c>
      <c r="K67" s="92">
        <f t="shared" si="18"/>
        <v>274799.96355168871</v>
      </c>
      <c r="L67" s="92">
        <f t="shared" si="18"/>
        <v>263807.96500962117</v>
      </c>
      <c r="M67" s="92">
        <f t="shared" si="18"/>
        <v>253255.64640923633</v>
      </c>
      <c r="N67" s="92">
        <f t="shared" si="18"/>
        <v>243125.42055286688</v>
      </c>
      <c r="O67" s="92">
        <f t="shared" si="18"/>
        <v>233400.40373075221</v>
      </c>
      <c r="P67" s="92">
        <f t="shared" si="18"/>
        <v>224064.38758152211</v>
      </c>
      <c r="Q67" s="92">
        <f t="shared" si="18"/>
        <v>215101.81207826122</v>
      </c>
      <c r="R67" s="92">
        <f t="shared" si="18"/>
        <v>206497.73959513078</v>
      </c>
      <c r="S67" s="92">
        <f t="shared" si="18"/>
        <v>198237.83001132554</v>
      </c>
      <c r="T67" s="92">
        <f t="shared" si="18"/>
        <v>190308.31681087252</v>
      </c>
      <c r="U67" s="92">
        <f t="shared" si="18"/>
        <v>182695.98413843763</v>
      </c>
      <c r="V67" s="92">
        <f t="shared" si="18"/>
        <v>175388.14477290012</v>
      </c>
      <c r="W67" s="92">
        <f t="shared" si="18"/>
        <v>168372.61898198412</v>
      </c>
      <c r="X67" s="92">
        <f t="shared" si="18"/>
        <v>161637.71422270476</v>
      </c>
      <c r="Y67" s="92">
        <f t="shared" si="18"/>
        <v>155172.20565379655</v>
      </c>
      <c r="Z67" s="92">
        <f t="shared" si="18"/>
        <v>148965.31742764468</v>
      </c>
      <c r="AA67" s="92">
        <f t="shared" si="18"/>
        <v>143006.70473053888</v>
      </c>
      <c r="AB67" s="92">
        <f t="shared" si="18"/>
        <v>137286.43654131732</v>
      </c>
      <c r="AC67" s="121"/>
    </row>
    <row r="68" spans="2:29">
      <c r="B68" s="116" t="s">
        <v>56</v>
      </c>
      <c r="C68" s="122">
        <v>0.04</v>
      </c>
      <c r="D68" s="92">
        <f>(C65*$C$68*0.5)+D66</f>
        <v>11462.407862407861</v>
      </c>
      <c r="E68" s="92">
        <f>(D65*$C$68)+E66</f>
        <v>18866.319410319411</v>
      </c>
      <c r="F68" s="92">
        <f t="shared" ref="F68:AB68" si="19">(E65*$C$68)+F66</f>
        <v>18111.666633906636</v>
      </c>
      <c r="G68" s="92">
        <f t="shared" si="19"/>
        <v>17387.199968550369</v>
      </c>
      <c r="H68" s="92">
        <f t="shared" si="19"/>
        <v>16691.711969808355</v>
      </c>
      <c r="I68" s="92">
        <f t="shared" si="19"/>
        <v>12424.043491016022</v>
      </c>
      <c r="J68" s="92">
        <f t="shared" si="19"/>
        <v>11927.081751375381</v>
      </c>
      <c r="K68" s="92">
        <f t="shared" si="19"/>
        <v>11449.998481320365</v>
      </c>
      <c r="L68" s="92">
        <f t="shared" si="19"/>
        <v>10991.998542067549</v>
      </c>
      <c r="M68" s="92">
        <f t="shared" si="19"/>
        <v>10552.318600384848</v>
      </c>
      <c r="N68" s="92">
        <f t="shared" si="19"/>
        <v>10130.225856369454</v>
      </c>
      <c r="O68" s="92">
        <f t="shared" si="19"/>
        <v>9725.016822114676</v>
      </c>
      <c r="P68" s="92">
        <f t="shared" si="19"/>
        <v>9336.0161492300886</v>
      </c>
      <c r="Q68" s="92">
        <f t="shared" si="19"/>
        <v>8962.5755032608849</v>
      </c>
      <c r="R68" s="92">
        <f t="shared" si="19"/>
        <v>8604.0724831304487</v>
      </c>
      <c r="S68" s="92">
        <f t="shared" si="19"/>
        <v>8259.9095838052308</v>
      </c>
      <c r="T68" s="92">
        <f t="shared" si="19"/>
        <v>7929.5132004530215</v>
      </c>
      <c r="U68" s="92">
        <f t="shared" si="19"/>
        <v>7612.3326724349008</v>
      </c>
      <c r="V68" s="92">
        <f t="shared" si="19"/>
        <v>7307.8393655375057</v>
      </c>
      <c r="W68" s="92">
        <f t="shared" si="19"/>
        <v>7015.5257909160055</v>
      </c>
      <c r="X68" s="92">
        <f t="shared" si="19"/>
        <v>6734.904759279365</v>
      </c>
      <c r="Y68" s="92">
        <f t="shared" si="19"/>
        <v>6465.5085689081907</v>
      </c>
      <c r="Z68" s="92">
        <f t="shared" si="19"/>
        <v>6206.888226151862</v>
      </c>
      <c r="AA68" s="92">
        <f t="shared" si="19"/>
        <v>5958.6126971057874</v>
      </c>
      <c r="AB68" s="92">
        <f t="shared" si="19"/>
        <v>5720.2681892215551</v>
      </c>
      <c r="AC68" s="121"/>
    </row>
    <row r="70" spans="2:29">
      <c r="D70" s="163"/>
    </row>
  </sheetData>
  <sheetProtection password="C013" sheet="1" objects="1" scenarios="1" formatCells="0" formatColumns="0" formatRows="0" insertColumns="0" insertRows="0"/>
  <mergeCells count="3">
    <mergeCell ref="B27:C27"/>
    <mergeCell ref="B2:G2"/>
    <mergeCell ref="B3:G3"/>
  </mergeCells>
  <phoneticPr fontId="2" type="noConversion"/>
  <pageMargins left="0.78740157499999996" right="0.78740157499999996" top="0.984251969" bottom="0.984251969" header="0.5" footer="0.5"/>
  <pageSetup orientation="portrait"/>
  <headerFooter alignWithMargins="0"/>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B1:F26"/>
  <sheetViews>
    <sheetView workbookViewId="0">
      <selection activeCell="D13" sqref="D13"/>
    </sheetView>
  </sheetViews>
  <sheetFormatPr baseColWidth="10" defaultRowHeight="14" x14ac:dyDescent="0"/>
  <cols>
    <col min="1" max="1" width="4.33203125" style="126" customWidth="1"/>
    <col min="2" max="2" width="30.6640625" style="126" customWidth="1"/>
    <col min="3" max="3" width="14.83203125" style="126" customWidth="1"/>
    <col min="4" max="4" width="25.1640625" style="126" customWidth="1"/>
    <col min="5" max="5" width="27.6640625" style="126" bestFit="1" customWidth="1"/>
    <col min="6" max="6" width="11" style="126" customWidth="1"/>
    <col min="7" max="7" width="4.33203125" style="126" customWidth="1"/>
    <col min="8" max="16384" width="10.83203125" style="126"/>
  </cols>
  <sheetData>
    <row r="1" spans="2:6" ht="13" customHeight="1"/>
    <row r="2" spans="2:6" ht="18">
      <c r="B2" s="175" t="s">
        <v>87</v>
      </c>
      <c r="C2" s="175"/>
      <c r="D2" s="175"/>
      <c r="E2" s="175"/>
      <c r="F2" s="175"/>
    </row>
    <row r="3" spans="2:6">
      <c r="B3" s="176" t="s">
        <v>109</v>
      </c>
      <c r="C3" s="176"/>
      <c r="D3" s="176"/>
      <c r="E3" s="176"/>
      <c r="F3" s="176"/>
    </row>
    <row r="4" spans="2:6" ht="6.75" customHeight="1"/>
    <row r="5" spans="2:6" ht="15">
      <c r="B5" s="127" t="s">
        <v>88</v>
      </c>
      <c r="C5" s="128">
        <f>'Saisie, cash-flow, rendement'!C14</f>
        <v>50000</v>
      </c>
      <c r="E5" s="127" t="s">
        <v>89</v>
      </c>
      <c r="F5" s="141">
        <v>6</v>
      </c>
    </row>
    <row r="6" spans="2:6" ht="15" thickBot="1">
      <c r="B6" s="126" t="s">
        <v>90</v>
      </c>
      <c r="C6" s="129">
        <f>0.03*C5</f>
        <v>1500</v>
      </c>
      <c r="D6" s="161" t="s">
        <v>162</v>
      </c>
    </row>
    <row r="7" spans="2:6">
      <c r="B7" s="127" t="s">
        <v>91</v>
      </c>
      <c r="C7" s="130">
        <f>C5-C6</f>
        <v>48500</v>
      </c>
      <c r="D7" s="127"/>
      <c r="E7" s="126" t="s">
        <v>115</v>
      </c>
      <c r="F7" s="131">
        <f>'Calculs hypothécaires'!I8</f>
        <v>2153.7152115117788</v>
      </c>
    </row>
    <row r="8" spans="2:6" ht="5" customHeight="1">
      <c r="B8" s="127"/>
      <c r="C8" s="132"/>
      <c r="F8" s="133"/>
    </row>
    <row r="9" spans="2:6">
      <c r="B9" s="127" t="s">
        <v>92</v>
      </c>
      <c r="C9" s="132"/>
      <c r="E9" s="134"/>
    </row>
    <row r="10" spans="2:6">
      <c r="B10" s="135" t="s">
        <v>93</v>
      </c>
      <c r="C10" s="132">
        <f>'Saisie, cash-flow, rendement'!E8</f>
        <v>3500</v>
      </c>
      <c r="D10" s="161" t="s">
        <v>163</v>
      </c>
    </row>
    <row r="11" spans="2:6">
      <c r="B11" s="135" t="s">
        <v>94</v>
      </c>
      <c r="C11" s="132">
        <f>'Saisie, cash-flow, rendement'!E9</f>
        <v>700</v>
      </c>
      <c r="D11" s="161" t="s">
        <v>163</v>
      </c>
    </row>
    <row r="12" spans="2:6" ht="15" thickBot="1">
      <c r="B12" s="135" t="s">
        <v>95</v>
      </c>
      <c r="C12" s="132">
        <f>'Saisie, cash-flow, rendement'!E12</f>
        <v>1500</v>
      </c>
      <c r="D12" s="161" t="s">
        <v>163</v>
      </c>
    </row>
    <row r="13" spans="2:6" ht="14" customHeight="1">
      <c r="B13" s="135" t="s">
        <v>159</v>
      </c>
      <c r="C13" s="132">
        <f>0.04*C5</f>
        <v>2000</v>
      </c>
      <c r="D13" s="161" t="s">
        <v>164</v>
      </c>
      <c r="E13" s="177" t="s">
        <v>96</v>
      </c>
    </row>
    <row r="14" spans="2:6" ht="14" customHeight="1">
      <c r="B14" s="127" t="s">
        <v>97</v>
      </c>
      <c r="C14" s="132"/>
      <c r="E14" s="178"/>
    </row>
    <row r="15" spans="2:6" ht="14" customHeight="1">
      <c r="B15" s="135" t="s">
        <v>98</v>
      </c>
      <c r="C15" s="132">
        <f>'Saisie, cash-flow, rendement'!E14</f>
        <v>0</v>
      </c>
      <c r="D15" s="161" t="s">
        <v>163</v>
      </c>
      <c r="E15" s="178"/>
    </row>
    <row r="16" spans="2:6" ht="14" customHeight="1">
      <c r="B16" s="135" t="s">
        <v>99</v>
      </c>
      <c r="C16" s="142">
        <v>649</v>
      </c>
      <c r="D16" s="161" t="s">
        <v>165</v>
      </c>
      <c r="E16" s="178"/>
    </row>
    <row r="17" spans="2:6" ht="14" customHeight="1">
      <c r="B17" s="135" t="s">
        <v>160</v>
      </c>
      <c r="C17" s="132">
        <f>115*F5</f>
        <v>690</v>
      </c>
      <c r="D17" s="161" t="s">
        <v>166</v>
      </c>
      <c r="E17" s="178"/>
    </row>
    <row r="18" spans="2:6" ht="15" customHeight="1">
      <c r="B18" s="135" t="s">
        <v>100</v>
      </c>
      <c r="C18" s="162">
        <v>0</v>
      </c>
      <c r="D18" s="161" t="s">
        <v>168</v>
      </c>
      <c r="E18" s="178"/>
    </row>
    <row r="19" spans="2:6" ht="15" customHeight="1">
      <c r="B19" s="135" t="s">
        <v>161</v>
      </c>
      <c r="C19" s="136">
        <f>470*F5</f>
        <v>2820</v>
      </c>
      <c r="D19" s="161" t="s">
        <v>167</v>
      </c>
      <c r="E19" s="178"/>
    </row>
    <row r="20" spans="2:6" ht="15" thickBot="1">
      <c r="B20" s="135" t="s">
        <v>101</v>
      </c>
      <c r="C20" s="143"/>
      <c r="E20" s="179"/>
    </row>
    <row r="21" spans="2:6">
      <c r="B21" s="127" t="s">
        <v>102</v>
      </c>
      <c r="C21" s="137">
        <f>SUM(C10:C20)</f>
        <v>11859</v>
      </c>
      <c r="D21" s="127"/>
      <c r="E21" s="134" t="s">
        <v>103</v>
      </c>
    </row>
    <row r="22" spans="2:6">
      <c r="B22" s="127"/>
      <c r="C22" s="137"/>
    </row>
    <row r="23" spans="2:6" ht="15" thickBot="1">
      <c r="B23" s="127" t="s">
        <v>104</v>
      </c>
      <c r="C23" s="138">
        <f>C7-C21</f>
        <v>36641</v>
      </c>
      <c r="D23" s="127"/>
    </row>
    <row r="24" spans="2:6">
      <c r="B24" s="135" t="s">
        <v>105</v>
      </c>
      <c r="C24" s="139">
        <f>12*F7</f>
        <v>25844.582538141345</v>
      </c>
      <c r="D24" s="127"/>
      <c r="E24" s="180" t="s">
        <v>106</v>
      </c>
      <c r="F24" s="181"/>
    </row>
    <row r="25" spans="2:6" ht="19" thickBot="1">
      <c r="B25" s="127" t="s">
        <v>107</v>
      </c>
      <c r="C25" s="140">
        <f>C23-C24</f>
        <v>10796.417461858655</v>
      </c>
      <c r="E25" s="182">
        <f>C23/C24</f>
        <v>1.4177439293486493</v>
      </c>
      <c r="F25" s="183"/>
    </row>
    <row r="26" spans="2:6" ht="13" customHeight="1" thickTop="1">
      <c r="D26" s="127"/>
    </row>
  </sheetData>
  <sheetProtection password="C013" sheet="1" objects="1" scenarios="1" formatCells="0" formatColumns="0" formatRows="0" insertColumns="0" insertRows="0"/>
  <mergeCells count="5">
    <mergeCell ref="B2:F2"/>
    <mergeCell ref="B3:F3"/>
    <mergeCell ref="E13:E20"/>
    <mergeCell ref="E24:F24"/>
    <mergeCell ref="E25:F2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4"/>
  <sheetViews>
    <sheetView topLeftCell="A21" workbookViewId="0">
      <selection activeCell="F52" sqref="F52"/>
    </sheetView>
  </sheetViews>
  <sheetFormatPr baseColWidth="10" defaultColWidth="9.1640625" defaultRowHeight="12" x14ac:dyDescent="0"/>
  <cols>
    <col min="1" max="1" width="9.1640625" style="9" customWidth="1"/>
    <col min="2" max="2" width="18.83203125" style="9" customWidth="1"/>
    <col min="3" max="3" width="18.5" style="9" customWidth="1"/>
    <col min="4" max="4" width="15.83203125" style="9" customWidth="1"/>
    <col min="5" max="5" width="17.1640625" style="9" customWidth="1"/>
    <col min="6" max="6" width="26.6640625" style="9" customWidth="1"/>
    <col min="7" max="7" width="8.83203125" style="9" bestFit="1" customWidth="1"/>
    <col min="8" max="8" width="15.5" style="9" bestFit="1" customWidth="1"/>
    <col min="9" max="9" width="20.83203125" style="9" customWidth="1"/>
    <col min="10" max="10" width="21.33203125" style="9" customWidth="1"/>
    <col min="11" max="11" width="9.1640625" style="9" customWidth="1"/>
    <col min="12" max="12" width="37.5" style="9" customWidth="1"/>
    <col min="13" max="13" width="11.83203125" style="9" bestFit="1" customWidth="1"/>
    <col min="14" max="16384" width="9.1640625" style="9"/>
  </cols>
  <sheetData>
    <row r="1" spans="1:14">
      <c r="A1" s="8" t="s">
        <v>81</v>
      </c>
      <c r="B1" s="8"/>
      <c r="C1" s="8"/>
      <c r="D1" s="8"/>
      <c r="E1" s="8"/>
      <c r="F1" s="8"/>
      <c r="G1" s="8"/>
      <c r="H1" s="8"/>
      <c r="I1" s="8"/>
      <c r="L1" s="9">
        <v>1376</v>
      </c>
    </row>
    <row r="2" spans="1:14">
      <c r="I2" s="9" t="s">
        <v>145</v>
      </c>
      <c r="J2" s="9" t="s">
        <v>146</v>
      </c>
      <c r="L2" s="9">
        <v>9494</v>
      </c>
    </row>
    <row r="3" spans="1:14">
      <c r="I3" s="10" t="s">
        <v>147</v>
      </c>
      <c r="J3" s="10" t="s">
        <v>147</v>
      </c>
    </row>
    <row r="4" spans="1:14">
      <c r="B4" s="11" t="s">
        <v>12</v>
      </c>
      <c r="C4" s="11" t="s">
        <v>13</v>
      </c>
      <c r="D4" s="11" t="s">
        <v>15</v>
      </c>
      <c r="E4" s="11" t="s">
        <v>14</v>
      </c>
      <c r="F4" s="12" t="s">
        <v>17</v>
      </c>
      <c r="I4" s="17">
        <f>('Saisie, cash-flow, rendement'!C32*'Saisie, cash-flow, rendement'!H15)</f>
        <v>1191.7478318663079</v>
      </c>
      <c r="J4" s="17">
        <f>B65*'Saisie, cash-flow, rendement'!H16</f>
        <v>2033.4266460219123</v>
      </c>
      <c r="L4" s="9">
        <v>1574</v>
      </c>
    </row>
    <row r="5" spans="1:14">
      <c r="A5" s="9">
        <v>1</v>
      </c>
      <c r="B5" s="14">
        <f>'Saisie, cash-flow, rendement'!C32</f>
        <v>443000</v>
      </c>
      <c r="C5" s="14">
        <f>B5*'Saisie, cash-flow, rendement'!H15</f>
        <v>1191.7478318663079</v>
      </c>
      <c r="D5" s="14">
        <f>I8</f>
        <v>2153.7152115117788</v>
      </c>
      <c r="E5" s="14">
        <f t="shared" ref="E5:E38" si="0">B5+C5-D5</f>
        <v>442038.03262035456</v>
      </c>
      <c r="F5" s="14">
        <f t="shared" ref="F5:F38" si="1">B5-E5</f>
        <v>961.96737964544445</v>
      </c>
      <c r="I5" s="15">
        <f>1+'Saisie, cash-flow, rendement'!H15</f>
        <v>1.0026901756927005</v>
      </c>
      <c r="J5" s="15">
        <f>1+'Saisie, cash-flow, rendement'!H16</f>
        <v>1.0053447400754976</v>
      </c>
    </row>
    <row r="6" spans="1:14">
      <c r="A6" s="9">
        <v>2</v>
      </c>
      <c r="B6" s="14">
        <f t="shared" ref="B6:B38" si="2">E5</f>
        <v>442038.03262035456</v>
      </c>
      <c r="C6" s="14">
        <f>B6*'Saisie, cash-flow, rendement'!H$15</f>
        <v>1189.1599706044151</v>
      </c>
      <c r="D6" s="14">
        <f t="shared" ref="D6:D38" si="3">D5</f>
        <v>2153.7152115117788</v>
      </c>
      <c r="E6" s="14">
        <f t="shared" si="0"/>
        <v>441073.4773794472</v>
      </c>
      <c r="F6" s="14">
        <f t="shared" si="1"/>
        <v>964.55524090735707</v>
      </c>
      <c r="I6" s="13">
        <f>POWER(I5,-300)</f>
        <v>0.44665486620685912</v>
      </c>
      <c r="J6" s="13">
        <f>POWER(J5,-240)</f>
        <v>0.27822591981353562</v>
      </c>
    </row>
    <row r="7" spans="1:14">
      <c r="A7" s="9">
        <v>3</v>
      </c>
      <c r="B7" s="14">
        <f t="shared" si="2"/>
        <v>441073.4773794472</v>
      </c>
      <c r="C7" s="14">
        <f>B7*'Saisie, cash-flow, rendement'!H$15</f>
        <v>1186.5651475410591</v>
      </c>
      <c r="D7" s="14">
        <f t="shared" si="3"/>
        <v>2153.7152115117788</v>
      </c>
      <c r="E7" s="14">
        <f t="shared" si="0"/>
        <v>440106.32731547649</v>
      </c>
      <c r="F7" s="14">
        <f t="shared" si="1"/>
        <v>967.15006397070829</v>
      </c>
      <c r="I7" s="13">
        <f>1-I6</f>
        <v>0.55334513379314088</v>
      </c>
      <c r="J7" s="13">
        <f>1-J6</f>
        <v>0.72177408018646438</v>
      </c>
      <c r="M7" s="16"/>
      <c r="N7" s="16"/>
    </row>
    <row r="8" spans="1:14">
      <c r="A8" s="9">
        <v>4</v>
      </c>
      <c r="B8" s="14">
        <f t="shared" si="2"/>
        <v>440106.32731547649</v>
      </c>
      <c r="C8" s="14">
        <f>B8*'Saisie, cash-flow, rendement'!H$15</f>
        <v>1183.9633439477716</v>
      </c>
      <c r="D8" s="14">
        <f t="shared" si="3"/>
        <v>2153.7152115117788</v>
      </c>
      <c r="E8" s="14">
        <f t="shared" si="0"/>
        <v>439136.5754479125</v>
      </c>
      <c r="F8" s="14">
        <f t="shared" si="1"/>
        <v>969.75186756398762</v>
      </c>
      <c r="I8" s="17">
        <f>I4/I7</f>
        <v>2153.7152115117788</v>
      </c>
      <c r="J8" s="17">
        <f>J4/J7</f>
        <v>2817.2619408784994</v>
      </c>
      <c r="M8" s="16"/>
      <c r="N8" s="16"/>
    </row>
    <row r="9" spans="1:14">
      <c r="A9" s="9">
        <v>5</v>
      </c>
      <c r="B9" s="14">
        <f t="shared" si="2"/>
        <v>439136.5754479125</v>
      </c>
      <c r="C9" s="14">
        <f>B9*'Saisie, cash-flow, rendement'!H$15</f>
        <v>1181.3545410457</v>
      </c>
      <c r="D9" s="14">
        <f t="shared" si="3"/>
        <v>2153.7152115117788</v>
      </c>
      <c r="E9" s="14">
        <f t="shared" si="0"/>
        <v>438164.21477744641</v>
      </c>
      <c r="F9" s="14">
        <f t="shared" si="1"/>
        <v>972.36067046609242</v>
      </c>
      <c r="M9" s="16"/>
      <c r="N9" s="16"/>
    </row>
    <row r="10" spans="1:14">
      <c r="A10" s="9">
        <v>6</v>
      </c>
      <c r="B10" s="14">
        <f t="shared" si="2"/>
        <v>438164.21477744641</v>
      </c>
      <c r="C10" s="14">
        <f>B10*'Saisie, cash-flow, rendement'!H$15</f>
        <v>1178.7387200054741</v>
      </c>
      <c r="D10" s="14">
        <f t="shared" si="3"/>
        <v>2153.7152115117788</v>
      </c>
      <c r="E10" s="14">
        <f t="shared" si="0"/>
        <v>437189.23828594014</v>
      </c>
      <c r="F10" s="14">
        <f t="shared" si="1"/>
        <v>974.97649150626967</v>
      </c>
      <c r="L10" s="11"/>
      <c r="M10" s="16"/>
      <c r="N10" s="16"/>
    </row>
    <row r="11" spans="1:14">
      <c r="A11" s="9">
        <v>7</v>
      </c>
      <c r="B11" s="14">
        <f t="shared" si="2"/>
        <v>437189.23828594014</v>
      </c>
      <c r="C11" s="14">
        <f>B11*'Saisie, cash-flow, rendement'!H$15</f>
        <v>1176.1158619470696</v>
      </c>
      <c r="D11" s="14">
        <f t="shared" si="3"/>
        <v>2153.7152115117788</v>
      </c>
      <c r="E11" s="14">
        <f t="shared" si="0"/>
        <v>436211.63893637544</v>
      </c>
      <c r="F11" s="14">
        <f t="shared" si="1"/>
        <v>977.59934956469806</v>
      </c>
      <c r="M11" s="16"/>
      <c r="N11" s="16"/>
    </row>
    <row r="12" spans="1:14">
      <c r="A12" s="9">
        <v>8</v>
      </c>
      <c r="B12" s="14">
        <f t="shared" si="2"/>
        <v>436211.63893637544</v>
      </c>
      <c r="C12" s="14">
        <f>B12*'Saisie, cash-flow, rendement'!H$15</f>
        <v>1173.485947939671</v>
      </c>
      <c r="D12" s="14">
        <f t="shared" si="3"/>
        <v>2153.7152115117788</v>
      </c>
      <c r="E12" s="14">
        <f t="shared" si="0"/>
        <v>435231.40967280336</v>
      </c>
      <c r="F12" s="14">
        <f t="shared" si="1"/>
        <v>980.22926357208053</v>
      </c>
      <c r="M12" s="16"/>
      <c r="N12" s="16"/>
    </row>
    <row r="13" spans="1:14">
      <c r="A13" s="9">
        <v>9</v>
      </c>
      <c r="B13" s="14">
        <f t="shared" si="2"/>
        <v>435231.40967280336</v>
      </c>
      <c r="C13" s="14">
        <f>B13*'Saisie, cash-flow, rendement'!H$15</f>
        <v>1170.8489590015356</v>
      </c>
      <c r="D13" s="14">
        <f t="shared" si="3"/>
        <v>2153.7152115117788</v>
      </c>
      <c r="E13" s="14">
        <f t="shared" si="0"/>
        <v>434248.54342029314</v>
      </c>
      <c r="F13" s="14">
        <f t="shared" si="1"/>
        <v>982.86625251022633</v>
      </c>
      <c r="M13" s="16"/>
      <c r="N13" s="16"/>
    </row>
    <row r="14" spans="1:14">
      <c r="A14" s="9">
        <v>10</v>
      </c>
      <c r="B14" s="14">
        <f t="shared" si="2"/>
        <v>434248.54342029314</v>
      </c>
      <c r="C14" s="14">
        <f>B14*'Saisie, cash-flow, rendement'!H$15</f>
        <v>1168.2048760998568</v>
      </c>
      <c r="D14" s="14">
        <f t="shared" si="3"/>
        <v>2153.7152115117788</v>
      </c>
      <c r="E14" s="14">
        <f t="shared" si="0"/>
        <v>433263.0330848812</v>
      </c>
      <c r="F14" s="14">
        <f t="shared" si="1"/>
        <v>985.51033541193465</v>
      </c>
      <c r="M14" s="16"/>
      <c r="N14" s="16"/>
    </row>
    <row r="15" spans="1:14">
      <c r="A15" s="9">
        <v>11</v>
      </c>
      <c r="B15" s="14">
        <f t="shared" si="2"/>
        <v>433263.0330848812</v>
      </c>
      <c r="C15" s="14">
        <f>B15*'Saisie, cash-flow, rendement'!H$15</f>
        <v>1165.5536801506266</v>
      </c>
      <c r="D15" s="14">
        <f t="shared" si="3"/>
        <v>2153.7152115117788</v>
      </c>
      <c r="E15" s="14">
        <f t="shared" si="0"/>
        <v>432274.87155352009</v>
      </c>
      <c r="F15" s="14">
        <f t="shared" si="1"/>
        <v>988.16153136111097</v>
      </c>
      <c r="G15" s="11" t="s">
        <v>44</v>
      </c>
      <c r="H15" s="11" t="s">
        <v>45</v>
      </c>
      <c r="I15" s="11" t="s">
        <v>46</v>
      </c>
      <c r="L15" s="11"/>
      <c r="M15" s="16"/>
      <c r="N15" s="16"/>
    </row>
    <row r="16" spans="1:14">
      <c r="A16" s="18">
        <v>12</v>
      </c>
      <c r="B16" s="19">
        <f t="shared" si="2"/>
        <v>432274.87155352009</v>
      </c>
      <c r="C16" s="19">
        <f>B16*'Saisie, cash-flow, rendement'!H$15</f>
        <v>1162.8953520184973</v>
      </c>
      <c r="D16" s="19">
        <f t="shared" si="3"/>
        <v>2153.7152115117788</v>
      </c>
      <c r="E16" s="19">
        <f t="shared" si="0"/>
        <v>431284.0516940268</v>
      </c>
      <c r="F16" s="19">
        <f t="shared" si="1"/>
        <v>990.81985949329101</v>
      </c>
      <c r="G16" s="18" t="s">
        <v>19</v>
      </c>
      <c r="H16" s="20">
        <f>SUM(C5:C16)</f>
        <v>14128.634232167984</v>
      </c>
      <c r="I16" s="20">
        <f>SUM(F5:F16)</f>
        <v>11715.948305973201</v>
      </c>
      <c r="M16" s="16"/>
      <c r="N16" s="16"/>
    </row>
    <row r="17" spans="1:14">
      <c r="A17" s="9">
        <v>13</v>
      </c>
      <c r="B17" s="14">
        <f t="shared" si="2"/>
        <v>431284.0516940268</v>
      </c>
      <c r="C17" s="14">
        <f>B17*'Saisie, cash-flow, rendement'!H$15</f>
        <v>1160.2298725166436</v>
      </c>
      <c r="D17" s="14">
        <f t="shared" si="3"/>
        <v>2153.7152115117788</v>
      </c>
      <c r="E17" s="14">
        <f t="shared" si="0"/>
        <v>430290.56635503168</v>
      </c>
      <c r="F17" s="14">
        <f t="shared" si="1"/>
        <v>993.48533899511676</v>
      </c>
      <c r="H17" s="16"/>
      <c r="I17" s="16"/>
      <c r="M17" s="16"/>
      <c r="N17" s="16"/>
    </row>
    <row r="18" spans="1:14">
      <c r="A18" s="9">
        <v>14</v>
      </c>
      <c r="B18" s="14">
        <f t="shared" si="2"/>
        <v>430290.56635503168</v>
      </c>
      <c r="C18" s="14">
        <f>B18*'Saisie, cash-flow, rendement'!H$15</f>
        <v>1157.5572224066248</v>
      </c>
      <c r="D18" s="14">
        <f t="shared" si="3"/>
        <v>2153.7152115117788</v>
      </c>
      <c r="E18" s="14">
        <f t="shared" si="0"/>
        <v>429294.40836592653</v>
      </c>
      <c r="F18" s="14">
        <f t="shared" si="1"/>
        <v>996.1579891051515</v>
      </c>
      <c r="H18" s="16"/>
      <c r="I18" s="16"/>
      <c r="M18" s="16"/>
      <c r="N18" s="16"/>
    </row>
    <row r="19" spans="1:14">
      <c r="A19" s="9">
        <v>15</v>
      </c>
      <c r="B19" s="14">
        <f t="shared" si="2"/>
        <v>429294.40836592653</v>
      </c>
      <c r="C19" s="14">
        <f>B19*'Saisie, cash-flow, rendement'!H$15</f>
        <v>1154.8773823982447</v>
      </c>
      <c r="D19" s="14">
        <f t="shared" si="3"/>
        <v>2153.7152115117788</v>
      </c>
      <c r="E19" s="14">
        <f t="shared" si="0"/>
        <v>428295.570536813</v>
      </c>
      <c r="F19" s="14">
        <f t="shared" si="1"/>
        <v>998.83782911353046</v>
      </c>
      <c r="H19" s="16"/>
      <c r="I19" s="16"/>
      <c r="M19" s="16"/>
      <c r="N19" s="16"/>
    </row>
    <row r="20" spans="1:14">
      <c r="A20" s="9">
        <v>16</v>
      </c>
      <c r="B20" s="14">
        <f t="shared" si="2"/>
        <v>428295.570536813</v>
      </c>
      <c r="C20" s="14">
        <f>B20*'Saisie, cash-flow, rendement'!H$15</f>
        <v>1152.1903331494136</v>
      </c>
      <c r="D20" s="14">
        <f t="shared" si="3"/>
        <v>2153.7152115117788</v>
      </c>
      <c r="E20" s="14">
        <f t="shared" si="0"/>
        <v>427294.04565845063</v>
      </c>
      <c r="F20" s="14">
        <f t="shared" si="1"/>
        <v>1001.5248783623683</v>
      </c>
      <c r="H20" s="16"/>
      <c r="I20" s="16"/>
      <c r="L20" s="11"/>
      <c r="M20" s="16"/>
      <c r="N20" s="16"/>
    </row>
    <row r="21" spans="1:14">
      <c r="A21" s="9">
        <v>17</v>
      </c>
      <c r="B21" s="14">
        <f t="shared" si="2"/>
        <v>427294.04565845063</v>
      </c>
      <c r="C21" s="14">
        <f>B21*'Saisie, cash-flow, rendement'!H$15</f>
        <v>1149.4960552660084</v>
      </c>
      <c r="D21" s="14">
        <f t="shared" si="3"/>
        <v>2153.7152115117788</v>
      </c>
      <c r="E21" s="14">
        <f t="shared" si="0"/>
        <v>426289.82650220487</v>
      </c>
      <c r="F21" s="14">
        <f t="shared" si="1"/>
        <v>1004.2191562457592</v>
      </c>
      <c r="H21" s="16"/>
      <c r="I21" s="16"/>
      <c r="M21" s="16"/>
      <c r="N21" s="16"/>
    </row>
    <row r="22" spans="1:14">
      <c r="A22" s="9">
        <v>18</v>
      </c>
      <c r="B22" s="14">
        <f t="shared" si="2"/>
        <v>426289.82650220487</v>
      </c>
      <c r="C22" s="14">
        <f>B22*'Saisie, cash-flow, rendement'!H$15</f>
        <v>1146.7945293017319</v>
      </c>
      <c r="D22" s="14">
        <f t="shared" si="3"/>
        <v>2153.7152115117788</v>
      </c>
      <c r="E22" s="14">
        <f t="shared" si="0"/>
        <v>425282.90581999486</v>
      </c>
      <c r="F22" s="14">
        <f t="shared" si="1"/>
        <v>1006.9206822100095</v>
      </c>
      <c r="H22" s="16"/>
      <c r="I22" s="16"/>
      <c r="M22" s="16"/>
      <c r="N22" s="16"/>
    </row>
    <row r="23" spans="1:14">
      <c r="A23" s="9">
        <v>19</v>
      </c>
      <c r="B23" s="14">
        <f t="shared" si="2"/>
        <v>425282.90581999486</v>
      </c>
      <c r="C23" s="14">
        <f>B23*'Saisie, cash-flow, rendement'!H$15</f>
        <v>1144.0857357579732</v>
      </c>
      <c r="D23" s="14">
        <f t="shared" si="3"/>
        <v>2153.7152115117788</v>
      </c>
      <c r="E23" s="14">
        <f t="shared" si="0"/>
        <v>424273.27634424105</v>
      </c>
      <c r="F23" s="14">
        <f t="shared" si="1"/>
        <v>1009.6294757538126</v>
      </c>
      <c r="H23" s="16"/>
      <c r="I23" s="16"/>
      <c r="M23" s="16"/>
      <c r="N23" s="16"/>
    </row>
    <row r="24" spans="1:14">
      <c r="A24" s="9">
        <v>20</v>
      </c>
      <c r="B24" s="14">
        <f t="shared" si="2"/>
        <v>424273.27634424105</v>
      </c>
      <c r="C24" s="14">
        <f>B24*'Saisie, cash-flow, rendement'!H$15</f>
        <v>1141.3696550836664</v>
      </c>
      <c r="D24" s="14">
        <f t="shared" si="3"/>
        <v>2153.7152115117788</v>
      </c>
      <c r="E24" s="14">
        <f t="shared" si="0"/>
        <v>423260.93078781298</v>
      </c>
      <c r="F24" s="14">
        <f t="shared" si="1"/>
        <v>1012.3455564280739</v>
      </c>
      <c r="H24" s="16"/>
      <c r="I24" s="16"/>
      <c r="M24" s="16"/>
      <c r="N24" s="16"/>
    </row>
    <row r="25" spans="1:14">
      <c r="A25" s="9">
        <v>21</v>
      </c>
      <c r="B25" s="14">
        <f t="shared" si="2"/>
        <v>423260.93078781298</v>
      </c>
      <c r="C25" s="14">
        <f>B25*'Saisie, cash-flow, rendement'!H$15</f>
        <v>1138.6462676751503</v>
      </c>
      <c r="D25" s="14">
        <f t="shared" si="3"/>
        <v>2153.7152115117788</v>
      </c>
      <c r="E25" s="14">
        <f t="shared" si="0"/>
        <v>422245.86184397637</v>
      </c>
      <c r="F25" s="14">
        <f t="shared" si="1"/>
        <v>1015.0689438366098</v>
      </c>
      <c r="H25" s="16"/>
      <c r="I25" s="16"/>
      <c r="M25" s="16"/>
      <c r="N25" s="16"/>
    </row>
    <row r="26" spans="1:14">
      <c r="A26" s="9">
        <v>22</v>
      </c>
      <c r="B26" s="14">
        <f t="shared" si="2"/>
        <v>422245.86184397637</v>
      </c>
      <c r="C26" s="14">
        <f>B26*'Saisie, cash-flow, rendement'!H$15</f>
        <v>1135.9155538760258</v>
      </c>
      <c r="D26" s="14">
        <f t="shared" si="3"/>
        <v>2153.7152115117788</v>
      </c>
      <c r="E26" s="14">
        <f t="shared" si="0"/>
        <v>421228.06218634063</v>
      </c>
      <c r="F26" s="14">
        <f t="shared" si="1"/>
        <v>1017.79965763574</v>
      </c>
      <c r="H26" s="16"/>
      <c r="I26" s="16"/>
      <c r="M26" s="16"/>
      <c r="N26" s="16"/>
    </row>
    <row r="27" spans="1:14">
      <c r="A27" s="9">
        <v>23</v>
      </c>
      <c r="B27" s="14">
        <f t="shared" si="2"/>
        <v>421228.06218634063</v>
      </c>
      <c r="C27" s="14">
        <f>B27*'Saisie, cash-flow, rendement'!H$15</f>
        <v>1133.1774939770153</v>
      </c>
      <c r="D27" s="14">
        <f t="shared" si="3"/>
        <v>2153.7152115117788</v>
      </c>
      <c r="E27" s="14">
        <f t="shared" si="0"/>
        <v>420207.52446880587</v>
      </c>
      <c r="F27" s="14">
        <f t="shared" si="1"/>
        <v>1020.537717534753</v>
      </c>
      <c r="H27" s="16"/>
      <c r="I27" s="16"/>
      <c r="M27" s="16"/>
      <c r="N27" s="16"/>
    </row>
    <row r="28" spans="1:14">
      <c r="A28" s="18">
        <v>24</v>
      </c>
      <c r="B28" s="19">
        <f t="shared" si="2"/>
        <v>420207.52446880587</v>
      </c>
      <c r="C28" s="19">
        <f>B28*'Saisie, cash-flow, rendement'!H$15</f>
        <v>1130.4320682158193</v>
      </c>
      <c r="D28" s="19">
        <f t="shared" si="3"/>
        <v>2153.7152115117788</v>
      </c>
      <c r="E28" s="19">
        <f t="shared" si="0"/>
        <v>419184.24132550991</v>
      </c>
      <c r="F28" s="19">
        <f t="shared" si="1"/>
        <v>1023.2831432959647</v>
      </c>
      <c r="G28" s="18" t="s">
        <v>20</v>
      </c>
      <c r="H28" s="20">
        <f>SUM(C17:C28)</f>
        <v>13744.772169624317</v>
      </c>
      <c r="I28" s="20">
        <f>SUM(F17:F28)</f>
        <v>12099.81036851689</v>
      </c>
      <c r="M28" s="16"/>
      <c r="N28" s="16"/>
    </row>
    <row r="29" spans="1:14">
      <c r="A29" s="9">
        <v>25</v>
      </c>
      <c r="B29" s="14">
        <f t="shared" si="2"/>
        <v>419184.24132550991</v>
      </c>
      <c r="C29" s="14">
        <f>B29*'Saisie, cash-flow, rendement'!H$15</f>
        <v>1127.6792567769744</v>
      </c>
      <c r="D29" s="14">
        <f t="shared" si="3"/>
        <v>2153.7152115117788</v>
      </c>
      <c r="E29" s="14">
        <f t="shared" si="0"/>
        <v>418158.20537077513</v>
      </c>
      <c r="F29" s="14">
        <f t="shared" si="1"/>
        <v>1026.0359547347762</v>
      </c>
      <c r="H29" s="16"/>
      <c r="I29" s="16"/>
      <c r="M29" s="16"/>
      <c r="N29" s="16"/>
    </row>
    <row r="30" spans="1:14">
      <c r="A30" s="9">
        <v>26</v>
      </c>
      <c r="B30" s="14">
        <f t="shared" si="2"/>
        <v>418158.20537077513</v>
      </c>
      <c r="C30" s="14">
        <f>B30*'Saisie, cash-flow, rendement'!H$15</f>
        <v>1124.9190397917102</v>
      </c>
      <c r="D30" s="14">
        <f t="shared" si="3"/>
        <v>2153.7152115117788</v>
      </c>
      <c r="E30" s="14">
        <f t="shared" si="0"/>
        <v>417129.40919905505</v>
      </c>
      <c r="F30" s="14">
        <f t="shared" si="1"/>
        <v>1028.7961717200815</v>
      </c>
      <c r="H30" s="16"/>
      <c r="I30" s="16"/>
    </row>
    <row r="31" spans="1:14">
      <c r="A31" s="9">
        <v>27</v>
      </c>
      <c r="B31" s="14">
        <f t="shared" si="2"/>
        <v>417129.40919905505</v>
      </c>
      <c r="C31" s="14">
        <f>B31*'Saisie, cash-flow, rendement'!H$15</f>
        <v>1122.1513973378055</v>
      </c>
      <c r="D31" s="14">
        <f t="shared" si="3"/>
        <v>2153.7152115117788</v>
      </c>
      <c r="E31" s="14">
        <f t="shared" si="0"/>
        <v>416097.84538488108</v>
      </c>
      <c r="F31" s="14">
        <f t="shared" si="1"/>
        <v>1031.5638141739764</v>
      </c>
      <c r="H31" s="16"/>
      <c r="I31" s="16"/>
    </row>
    <row r="32" spans="1:14">
      <c r="A32" s="9">
        <v>28</v>
      </c>
      <c r="B32" s="14">
        <f t="shared" si="2"/>
        <v>416097.84538488108</v>
      </c>
      <c r="C32" s="14">
        <f>B32*'Saisie, cash-flow, rendement'!H$15</f>
        <v>1119.3763094394453</v>
      </c>
      <c r="D32" s="14">
        <f t="shared" si="3"/>
        <v>2153.7152115117788</v>
      </c>
      <c r="E32" s="14">
        <f t="shared" si="0"/>
        <v>415063.50648280873</v>
      </c>
      <c r="F32" s="14">
        <f t="shared" si="1"/>
        <v>1034.3389020723407</v>
      </c>
      <c r="H32" s="16"/>
      <c r="I32" s="16"/>
    </row>
    <row r="33" spans="1:9">
      <c r="A33" s="9">
        <v>29</v>
      </c>
      <c r="B33" s="14">
        <f t="shared" si="2"/>
        <v>415063.50648280873</v>
      </c>
      <c r="C33" s="14">
        <f>B33*'Saisie, cash-flow, rendement'!H$15</f>
        <v>1116.5937560670757</v>
      </c>
      <c r="D33" s="14">
        <f t="shared" si="3"/>
        <v>2153.7152115117788</v>
      </c>
      <c r="E33" s="14">
        <f t="shared" si="0"/>
        <v>414026.38502736407</v>
      </c>
      <c r="F33" s="14">
        <f t="shared" si="1"/>
        <v>1037.1214554446633</v>
      </c>
      <c r="H33" s="16"/>
      <c r="I33" s="16"/>
    </row>
    <row r="34" spans="1:9">
      <c r="A34" s="9">
        <v>30</v>
      </c>
      <c r="B34" s="14">
        <f t="shared" si="2"/>
        <v>414026.38502736407</v>
      </c>
      <c r="C34" s="14">
        <f>B34*'Saisie, cash-flow, rendement'!H$15</f>
        <v>1113.8037171372605</v>
      </c>
      <c r="D34" s="14">
        <f t="shared" si="3"/>
        <v>2153.7152115117788</v>
      </c>
      <c r="E34" s="14">
        <f t="shared" si="0"/>
        <v>412986.47353298956</v>
      </c>
      <c r="F34" s="14">
        <f t="shared" si="1"/>
        <v>1039.911494374508</v>
      </c>
      <c r="H34" s="16"/>
      <c r="I34" s="16"/>
    </row>
    <row r="35" spans="1:9">
      <c r="A35" s="9">
        <v>31</v>
      </c>
      <c r="B35" s="14">
        <f t="shared" si="2"/>
        <v>412986.47353298956</v>
      </c>
      <c r="C35" s="14">
        <f>B35*'Saisie, cash-flow, rendement'!H$15</f>
        <v>1111.0061725125342</v>
      </c>
      <c r="D35" s="14">
        <f t="shared" si="3"/>
        <v>2153.7152115117788</v>
      </c>
      <c r="E35" s="14">
        <f t="shared" si="0"/>
        <v>411943.76449399034</v>
      </c>
      <c r="F35" s="14">
        <f t="shared" si="1"/>
        <v>1042.7090389992227</v>
      </c>
      <c r="H35" s="16"/>
      <c r="I35" s="16"/>
    </row>
    <row r="36" spans="1:9">
      <c r="A36" s="9">
        <v>32</v>
      </c>
      <c r="B36" s="14">
        <f t="shared" si="2"/>
        <v>411943.76449399034</v>
      </c>
      <c r="C36" s="14">
        <f>B36*'Saisie, cash-flow, rendement'!H$15</f>
        <v>1108.2011020012594</v>
      </c>
      <c r="D36" s="14">
        <f t="shared" si="3"/>
        <v>2153.7152115117788</v>
      </c>
      <c r="E36" s="14">
        <f t="shared" si="0"/>
        <v>410898.25038447982</v>
      </c>
      <c r="F36" s="14">
        <f t="shared" si="1"/>
        <v>1045.5141095105209</v>
      </c>
      <c r="H36" s="16"/>
      <c r="I36" s="16"/>
    </row>
    <row r="37" spans="1:9">
      <c r="A37" s="9">
        <v>33</v>
      </c>
      <c r="B37" s="14">
        <f t="shared" si="2"/>
        <v>410898.25038447982</v>
      </c>
      <c r="C37" s="14">
        <f>B37*'Saisie, cash-flow, rendement'!H$15</f>
        <v>1105.3884853574789</v>
      </c>
      <c r="D37" s="14">
        <f t="shared" si="3"/>
        <v>2153.7152115117788</v>
      </c>
      <c r="E37" s="14">
        <f t="shared" si="0"/>
        <v>409849.92365832551</v>
      </c>
      <c r="F37" s="14">
        <f t="shared" si="1"/>
        <v>1048.3267261543078</v>
      </c>
      <c r="H37" s="16"/>
      <c r="I37" s="16"/>
    </row>
    <row r="38" spans="1:9">
      <c r="A38" s="9">
        <v>34</v>
      </c>
      <c r="B38" s="14">
        <f t="shared" si="2"/>
        <v>409849.92365832551</v>
      </c>
      <c r="C38" s="14">
        <f>B38*'Saisie, cash-flow, rendement'!H$15</f>
        <v>1102.5683022807702</v>
      </c>
      <c r="D38" s="14">
        <f t="shared" si="3"/>
        <v>2153.7152115117788</v>
      </c>
      <c r="E38" s="14">
        <f t="shared" si="0"/>
        <v>408798.77674909454</v>
      </c>
      <c r="F38" s="14">
        <f t="shared" si="1"/>
        <v>1051.1469092309708</v>
      </c>
      <c r="H38" s="16"/>
      <c r="I38" s="16"/>
    </row>
    <row r="39" spans="1:9">
      <c r="A39" s="9">
        <v>35</v>
      </c>
      <c r="B39" s="14">
        <f t="shared" ref="B39:B102" si="4">E38</f>
        <v>408798.77674909454</v>
      </c>
      <c r="C39" s="14">
        <f>B39*'Saisie, cash-flow, rendement'!H$15</f>
        <v>1099.7405324161</v>
      </c>
      <c r="D39" s="14">
        <f t="shared" ref="D39:D102" si="5">D38</f>
        <v>2153.7152115117788</v>
      </c>
      <c r="E39" s="14">
        <f t="shared" ref="E39:E102" si="6">B39+C39-D39</f>
        <v>407744.80206999887</v>
      </c>
      <c r="F39" s="14">
        <f t="shared" ref="F39:F102" si="7">B39-E39</f>
        <v>1053.9746790956706</v>
      </c>
      <c r="H39" s="16"/>
      <c r="I39" s="16"/>
    </row>
    <row r="40" spans="1:9">
      <c r="A40" s="18">
        <v>36</v>
      </c>
      <c r="B40" s="19">
        <f t="shared" si="4"/>
        <v>407744.80206999887</v>
      </c>
      <c r="C40" s="19">
        <f>B40*'Saisie, cash-flow, rendement'!H$15</f>
        <v>1096.9051553536749</v>
      </c>
      <c r="D40" s="19">
        <f t="shared" si="5"/>
        <v>2153.7152115117788</v>
      </c>
      <c r="E40" s="19">
        <f t="shared" si="6"/>
        <v>406687.99201384076</v>
      </c>
      <c r="F40" s="19">
        <f t="shared" si="7"/>
        <v>1056.8100561581086</v>
      </c>
      <c r="G40" s="18" t="s">
        <v>21</v>
      </c>
      <c r="H40" s="20">
        <f>SUM(C29:C40)</f>
        <v>13348.333226472087</v>
      </c>
      <c r="I40" s="20">
        <f>SUM(F29:F40)</f>
        <v>12496.249311669148</v>
      </c>
    </row>
    <row r="41" spans="1:9">
      <c r="A41" s="9">
        <v>37</v>
      </c>
      <c r="B41" s="14">
        <f t="shared" si="4"/>
        <v>406687.99201384076</v>
      </c>
      <c r="C41" s="14">
        <f>B41*'Saisie, cash-flow, rendement'!H$15</f>
        <v>1094.0621506287971</v>
      </c>
      <c r="D41" s="14">
        <f t="shared" si="5"/>
        <v>2153.7152115117788</v>
      </c>
      <c r="E41" s="14">
        <f t="shared" si="6"/>
        <v>405628.33895295777</v>
      </c>
      <c r="F41" s="14">
        <f t="shared" si="7"/>
        <v>1059.6530608829926</v>
      </c>
      <c r="H41" s="16"/>
      <c r="I41" s="16"/>
    </row>
    <row r="42" spans="1:9">
      <c r="A42" s="9">
        <v>38</v>
      </c>
      <c r="B42" s="14">
        <f t="shared" si="4"/>
        <v>405628.33895295777</v>
      </c>
      <c r="C42" s="14">
        <f>B42*'Saisie, cash-flow, rendement'!H$15</f>
        <v>1091.2114977217141</v>
      </c>
      <c r="D42" s="14">
        <f t="shared" si="5"/>
        <v>2153.7152115117788</v>
      </c>
      <c r="E42" s="14">
        <f t="shared" si="6"/>
        <v>404565.83523916773</v>
      </c>
      <c r="F42" s="14">
        <f t="shared" si="7"/>
        <v>1062.5037137900363</v>
      </c>
      <c r="H42" s="16"/>
      <c r="I42" s="16"/>
    </row>
    <row r="43" spans="1:9">
      <c r="A43" s="9">
        <v>39</v>
      </c>
      <c r="B43" s="14">
        <f t="shared" si="4"/>
        <v>404565.83523916773</v>
      </c>
      <c r="C43" s="14">
        <f>B43*'Saisie, cash-flow, rendement'!H$15</f>
        <v>1088.353176057472</v>
      </c>
      <c r="D43" s="14">
        <f t="shared" si="5"/>
        <v>2153.7152115117788</v>
      </c>
      <c r="E43" s="14">
        <f t="shared" si="6"/>
        <v>403500.47320371342</v>
      </c>
      <c r="F43" s="14">
        <f t="shared" si="7"/>
        <v>1065.3620354543091</v>
      </c>
      <c r="H43" s="16"/>
      <c r="I43" s="16"/>
    </row>
    <row r="44" spans="1:9">
      <c r="A44" s="9">
        <v>40</v>
      </c>
      <c r="B44" s="14">
        <f t="shared" si="4"/>
        <v>403500.47320371342</v>
      </c>
      <c r="C44" s="14">
        <f>B44*'Saisie, cash-flow, rendement'!H$15</f>
        <v>1085.4871650057669</v>
      </c>
      <c r="D44" s="14">
        <f t="shared" si="5"/>
        <v>2153.7152115117788</v>
      </c>
      <c r="E44" s="14">
        <f t="shared" si="6"/>
        <v>402432.24515720742</v>
      </c>
      <c r="F44" s="14">
        <f t="shared" si="7"/>
        <v>1068.228046506003</v>
      </c>
      <c r="H44" s="16"/>
      <c r="I44" s="16"/>
    </row>
    <row r="45" spans="1:9">
      <c r="A45" s="9">
        <v>41</v>
      </c>
      <c r="B45" s="14">
        <f t="shared" si="4"/>
        <v>402432.24515720742</v>
      </c>
      <c r="C45" s="14">
        <f>B45*'Saisie, cash-flow, rendement'!H$15</f>
        <v>1082.6134438807956</v>
      </c>
      <c r="D45" s="14">
        <f t="shared" si="5"/>
        <v>2153.7152115117788</v>
      </c>
      <c r="E45" s="14">
        <f t="shared" si="6"/>
        <v>401361.14338957646</v>
      </c>
      <c r="F45" s="14">
        <f t="shared" si="7"/>
        <v>1071.1017676309566</v>
      </c>
      <c r="H45" s="16"/>
      <c r="I45" s="16"/>
    </row>
    <row r="46" spans="1:9">
      <c r="A46" s="9">
        <v>42</v>
      </c>
      <c r="B46" s="14">
        <f t="shared" si="4"/>
        <v>401361.14338957646</v>
      </c>
      <c r="C46" s="14">
        <f>B46*'Saisie, cash-flow, rendement'!H$15</f>
        <v>1079.7319919411063</v>
      </c>
      <c r="D46" s="14">
        <f t="shared" si="5"/>
        <v>2153.7152115117788</v>
      </c>
      <c r="E46" s="14">
        <f t="shared" si="6"/>
        <v>400287.16017000581</v>
      </c>
      <c r="F46" s="14">
        <f t="shared" si="7"/>
        <v>1073.9832195706549</v>
      </c>
      <c r="H46" s="16"/>
      <c r="I46" s="16"/>
    </row>
    <row r="47" spans="1:9">
      <c r="A47" s="9">
        <v>43</v>
      </c>
      <c r="B47" s="14">
        <f t="shared" si="4"/>
        <v>400287.16017000581</v>
      </c>
      <c r="C47" s="14">
        <f>B47*'Saisie, cash-flow, rendement'!H$15</f>
        <v>1076.8427883894492</v>
      </c>
      <c r="D47" s="14">
        <f t="shared" si="5"/>
        <v>2153.7152115117788</v>
      </c>
      <c r="E47" s="14">
        <f t="shared" si="6"/>
        <v>399210.28774688352</v>
      </c>
      <c r="F47" s="14">
        <f t="shared" si="7"/>
        <v>1076.8724231222877</v>
      </c>
      <c r="H47" s="16"/>
      <c r="I47" s="16"/>
    </row>
    <row r="48" spans="1:9">
      <c r="A48" s="9">
        <v>44</v>
      </c>
      <c r="B48" s="14">
        <f t="shared" si="4"/>
        <v>399210.28774688352</v>
      </c>
      <c r="C48" s="14">
        <f>B48*'Saisie, cash-flow, rendement'!H$15</f>
        <v>1073.9458123726261</v>
      </c>
      <c r="D48" s="14">
        <f t="shared" si="5"/>
        <v>2153.7152115117788</v>
      </c>
      <c r="E48" s="14">
        <f t="shared" si="6"/>
        <v>398130.51834774436</v>
      </c>
      <c r="F48" s="14">
        <f t="shared" si="7"/>
        <v>1079.769399139157</v>
      </c>
      <c r="H48" s="16"/>
      <c r="I48" s="16"/>
    </row>
    <row r="49" spans="1:9">
      <c r="A49" s="9">
        <v>45</v>
      </c>
      <c r="B49" s="14">
        <f t="shared" si="4"/>
        <v>398130.51834774436</v>
      </c>
      <c r="C49" s="14">
        <f>B49*'Saisie, cash-flow, rendement'!H$15</f>
        <v>1071.0410429813401</v>
      </c>
      <c r="D49" s="14">
        <f t="shared" si="5"/>
        <v>2153.7152115117788</v>
      </c>
      <c r="E49" s="14">
        <f t="shared" si="6"/>
        <v>397047.84417921392</v>
      </c>
      <c r="F49" s="14">
        <f t="shared" si="7"/>
        <v>1082.6741685304441</v>
      </c>
      <c r="H49" s="16"/>
      <c r="I49" s="16"/>
    </row>
    <row r="50" spans="1:9">
      <c r="A50" s="9">
        <v>46</v>
      </c>
      <c r="B50" s="14">
        <f t="shared" si="4"/>
        <v>397047.84417921392</v>
      </c>
      <c r="C50" s="14">
        <f>B50*'Saisie, cash-flow, rendement'!H$15</f>
        <v>1068.1284592500449</v>
      </c>
      <c r="D50" s="14">
        <f t="shared" si="5"/>
        <v>2153.7152115117788</v>
      </c>
      <c r="E50" s="14">
        <f t="shared" si="6"/>
        <v>395962.25742695219</v>
      </c>
      <c r="F50" s="14">
        <f t="shared" si="7"/>
        <v>1085.5867522617336</v>
      </c>
      <c r="H50" s="16"/>
      <c r="I50" s="16"/>
    </row>
    <row r="51" spans="1:9">
      <c r="A51" s="9">
        <v>47</v>
      </c>
      <c r="B51" s="14">
        <f t="shared" si="4"/>
        <v>395962.25742695219</v>
      </c>
      <c r="C51" s="14">
        <f>B51*'Saisie, cash-flow, rendement'!H$15</f>
        <v>1065.2080401567928</v>
      </c>
      <c r="D51" s="14">
        <f t="shared" si="5"/>
        <v>2153.7152115117788</v>
      </c>
      <c r="E51" s="14">
        <f t="shared" si="6"/>
        <v>394873.75025559723</v>
      </c>
      <c r="F51" s="14">
        <f t="shared" si="7"/>
        <v>1088.5071713549551</v>
      </c>
      <c r="H51" s="16"/>
      <c r="I51" s="16"/>
    </row>
    <row r="52" spans="1:9">
      <c r="A52" s="18">
        <v>48</v>
      </c>
      <c r="B52" s="19">
        <f t="shared" si="4"/>
        <v>394873.75025559723</v>
      </c>
      <c r="C52" s="19">
        <f>B52*'Saisie, cash-flow, rendement'!H$15</f>
        <v>1062.2797646230833</v>
      </c>
      <c r="D52" s="19">
        <f t="shared" si="5"/>
        <v>2153.7152115117788</v>
      </c>
      <c r="E52" s="19">
        <f t="shared" si="6"/>
        <v>393782.31480870856</v>
      </c>
      <c r="F52" s="19">
        <f t="shared" si="7"/>
        <v>1091.4354468886741</v>
      </c>
      <c r="G52" s="18" t="s">
        <v>22</v>
      </c>
      <c r="H52" s="20">
        <f>SUM(C41:C52)</f>
        <v>12938.905333008988</v>
      </c>
      <c r="I52" s="20">
        <f>SUM(F41:F52)</f>
        <v>12905.677205132204</v>
      </c>
    </row>
    <row r="53" spans="1:9">
      <c r="A53" s="9">
        <v>49</v>
      </c>
      <c r="B53" s="14">
        <f t="shared" si="4"/>
        <v>393782.31480870856</v>
      </c>
      <c r="C53" s="14">
        <f>B53*'Saisie, cash-flow, rendement'!H$15</f>
        <v>1059.3436115137119</v>
      </c>
      <c r="D53" s="14">
        <f t="shared" si="5"/>
        <v>2153.7152115117788</v>
      </c>
      <c r="E53" s="14">
        <f t="shared" si="6"/>
        <v>392687.94320871052</v>
      </c>
      <c r="F53" s="14">
        <f t="shared" si="7"/>
        <v>1094.3715999980341</v>
      </c>
      <c r="H53" s="16"/>
      <c r="I53" s="16"/>
    </row>
    <row r="54" spans="1:9">
      <c r="A54" s="9">
        <v>50</v>
      </c>
      <c r="B54" s="14">
        <f t="shared" si="4"/>
        <v>392687.94320871052</v>
      </c>
      <c r="C54" s="14">
        <f>B54*'Saisie, cash-flow, rendement'!H$15</f>
        <v>1056.3995596366153</v>
      </c>
      <c r="D54" s="14">
        <f t="shared" si="5"/>
        <v>2153.7152115117788</v>
      </c>
      <c r="E54" s="14">
        <f t="shared" si="6"/>
        <v>391590.62755683536</v>
      </c>
      <c r="F54" s="14">
        <f t="shared" si="7"/>
        <v>1097.3156518751639</v>
      </c>
      <c r="H54" s="16"/>
      <c r="I54" s="16"/>
    </row>
    <row r="55" spans="1:9">
      <c r="A55" s="9">
        <v>51</v>
      </c>
      <c r="B55" s="14">
        <f t="shared" si="4"/>
        <v>391590.62755683536</v>
      </c>
      <c r="C55" s="14">
        <f>B55*'Saisie, cash-flow, rendement'!H$15</f>
        <v>1053.447587742721</v>
      </c>
      <c r="D55" s="14">
        <f t="shared" si="5"/>
        <v>2153.7152115117788</v>
      </c>
      <c r="E55" s="14">
        <f t="shared" si="6"/>
        <v>390490.3599330663</v>
      </c>
      <c r="F55" s="14">
        <f t="shared" si="7"/>
        <v>1100.2676237690612</v>
      </c>
      <c r="H55" s="16"/>
      <c r="I55" s="16"/>
    </row>
    <row r="56" spans="1:9">
      <c r="A56" s="9">
        <v>52</v>
      </c>
      <c r="B56" s="14">
        <f t="shared" si="4"/>
        <v>390490.3599330663</v>
      </c>
      <c r="C56" s="14">
        <f>B56*'Saisie, cash-flow, rendement'!H$15</f>
        <v>1050.4876745257923</v>
      </c>
      <c r="D56" s="14">
        <f t="shared" si="5"/>
        <v>2153.7152115117788</v>
      </c>
      <c r="E56" s="14">
        <f t="shared" si="6"/>
        <v>389387.1323960803</v>
      </c>
      <c r="F56" s="14">
        <f t="shared" si="7"/>
        <v>1103.2275369859999</v>
      </c>
      <c r="H56" s="16"/>
      <c r="I56" s="16"/>
    </row>
    <row r="57" spans="1:9">
      <c r="A57" s="9">
        <v>53</v>
      </c>
      <c r="B57" s="14">
        <f t="shared" si="4"/>
        <v>389387.1323960803</v>
      </c>
      <c r="C57" s="14">
        <f>B57*'Saisie, cash-flow, rendement'!H$15</f>
        <v>1047.5197986222747</v>
      </c>
      <c r="D57" s="14">
        <f t="shared" si="5"/>
        <v>2153.7152115117788</v>
      </c>
      <c r="E57" s="14">
        <f t="shared" si="6"/>
        <v>388280.93698319083</v>
      </c>
      <c r="F57" s="14">
        <f t="shared" si="7"/>
        <v>1106.1954128894722</v>
      </c>
      <c r="H57" s="16"/>
      <c r="I57" s="16"/>
    </row>
    <row r="58" spans="1:9">
      <c r="A58" s="9">
        <v>54</v>
      </c>
      <c r="B58" s="14">
        <f t="shared" si="4"/>
        <v>388280.93698319083</v>
      </c>
      <c r="C58" s="14">
        <f>B58*'Saisie, cash-flow, rendement'!H$15</f>
        <v>1044.5439386111427</v>
      </c>
      <c r="D58" s="14">
        <f t="shared" si="5"/>
        <v>2153.7152115117788</v>
      </c>
      <c r="E58" s="14">
        <f t="shared" si="6"/>
        <v>387171.76571029023</v>
      </c>
      <c r="F58" s="14">
        <f t="shared" si="7"/>
        <v>1109.1712729005958</v>
      </c>
      <c r="H58" s="16"/>
      <c r="I58" s="16"/>
    </row>
    <row r="59" spans="1:9">
      <c r="A59" s="9">
        <v>55</v>
      </c>
      <c r="B59" s="14">
        <f t="shared" si="4"/>
        <v>387171.76571029023</v>
      </c>
      <c r="C59" s="14">
        <f>B59*'Saisie, cash-flow, rendement'!H$15</f>
        <v>1041.5600730137439</v>
      </c>
      <c r="D59" s="14">
        <f t="shared" si="5"/>
        <v>2153.7152115117788</v>
      </c>
      <c r="E59" s="14">
        <f t="shared" si="6"/>
        <v>386059.61057179223</v>
      </c>
      <c r="F59" s="14">
        <f t="shared" si="7"/>
        <v>1112.1551384979975</v>
      </c>
      <c r="H59" s="16"/>
      <c r="I59" s="16"/>
    </row>
    <row r="60" spans="1:9">
      <c r="A60" s="9">
        <v>56</v>
      </c>
      <c r="B60" s="14">
        <f t="shared" si="4"/>
        <v>386059.61057179223</v>
      </c>
      <c r="C60" s="14">
        <f>B60*'Saisie, cash-flow, rendement'!H$15</f>
        <v>1038.5681802936447</v>
      </c>
      <c r="D60" s="14">
        <f t="shared" si="5"/>
        <v>2153.7152115117788</v>
      </c>
      <c r="E60" s="14">
        <f t="shared" si="6"/>
        <v>384944.46354057413</v>
      </c>
      <c r="F60" s="14">
        <f t="shared" si="7"/>
        <v>1115.1470312181045</v>
      </c>
      <c r="H60" s="16"/>
      <c r="I60" s="16"/>
    </row>
    <row r="61" spans="1:9">
      <c r="A61" s="9">
        <v>57</v>
      </c>
      <c r="B61" s="14">
        <f t="shared" si="4"/>
        <v>384944.46354057413</v>
      </c>
      <c r="C61" s="14">
        <f>B61*'Saisie, cash-flow, rendement'!H$15</f>
        <v>1035.5682388564746</v>
      </c>
      <c r="D61" s="14">
        <f t="shared" si="5"/>
        <v>2153.7152115117788</v>
      </c>
      <c r="E61" s="14">
        <f t="shared" si="6"/>
        <v>383826.31656791881</v>
      </c>
      <c r="F61" s="14">
        <f t="shared" si="7"/>
        <v>1118.1469726553187</v>
      </c>
      <c r="H61" s="16"/>
      <c r="I61" s="16"/>
    </row>
    <row r="62" spans="1:9">
      <c r="A62" s="9">
        <v>58</v>
      </c>
      <c r="B62" s="14">
        <f t="shared" si="4"/>
        <v>383826.31656791881</v>
      </c>
      <c r="C62" s="14">
        <f>B62*'Saisie, cash-flow, rendement'!H$15</f>
        <v>1032.5602270497707</v>
      </c>
      <c r="D62" s="14">
        <f t="shared" si="5"/>
        <v>2153.7152115117788</v>
      </c>
      <c r="E62" s="14">
        <f t="shared" si="6"/>
        <v>382705.16158345679</v>
      </c>
      <c r="F62" s="14">
        <f t="shared" si="7"/>
        <v>1121.1549844620167</v>
      </c>
      <c r="H62" s="16"/>
      <c r="I62" s="16"/>
    </row>
    <row r="63" spans="1:9">
      <c r="A63" s="9">
        <v>59</v>
      </c>
      <c r="B63" s="14">
        <f t="shared" si="4"/>
        <v>382705.16158345679</v>
      </c>
      <c r="C63" s="14">
        <f>B63*'Saisie, cash-flow, rendement'!H$15</f>
        <v>1029.5441231628211</v>
      </c>
      <c r="D63" s="14">
        <f t="shared" si="5"/>
        <v>2153.7152115117788</v>
      </c>
      <c r="E63" s="14">
        <f t="shared" si="6"/>
        <v>381580.99049510784</v>
      </c>
      <c r="F63" s="14">
        <f t="shared" si="7"/>
        <v>1124.1710883489577</v>
      </c>
      <c r="H63" s="16"/>
      <c r="I63" s="16"/>
    </row>
    <row r="64" spans="1:9">
      <c r="A64" s="18">
        <v>60</v>
      </c>
      <c r="B64" s="19">
        <f t="shared" si="4"/>
        <v>381580.99049510784</v>
      </c>
      <c r="C64" s="19">
        <f>B64*'Saisie, cash-flow, rendement'!H$15</f>
        <v>1026.5199054265079</v>
      </c>
      <c r="D64" s="19">
        <f t="shared" si="5"/>
        <v>2153.7152115117788</v>
      </c>
      <c r="E64" s="19">
        <f t="shared" si="6"/>
        <v>380453.79518902255</v>
      </c>
      <c r="F64" s="19">
        <f t="shared" si="7"/>
        <v>1127.1953060852829</v>
      </c>
      <c r="G64" s="18" t="s">
        <v>23</v>
      </c>
      <c r="H64" s="20">
        <f>SUM(C53:C64)</f>
        <v>12516.062918455222</v>
      </c>
      <c r="I64" s="20">
        <f>SUM(F53:F64)</f>
        <v>13328.519619686005</v>
      </c>
    </row>
    <row r="65" spans="1:9">
      <c r="A65" s="9">
        <v>61</v>
      </c>
      <c r="B65" s="14">
        <f t="shared" si="4"/>
        <v>380453.79518902255</v>
      </c>
      <c r="C65" s="144">
        <f>B65*'Saisie, cash-flow, rendement'!H$16</f>
        <v>2033.4266460219123</v>
      </c>
      <c r="D65" s="144">
        <f>J8</f>
        <v>2817.2619408784994</v>
      </c>
      <c r="E65" s="14">
        <f t="shared" si="6"/>
        <v>379669.95989416592</v>
      </c>
      <c r="F65" s="14">
        <f t="shared" si="7"/>
        <v>783.83529485663166</v>
      </c>
      <c r="H65" s="16"/>
      <c r="I65" s="16"/>
    </row>
    <row r="66" spans="1:9">
      <c r="A66" s="9">
        <v>62</v>
      </c>
      <c r="B66" s="14">
        <f t="shared" si="4"/>
        <v>379669.95989416592</v>
      </c>
      <c r="C66" s="145">
        <f>B66*'Saisie, cash-flow, rendement'!H$16</f>
        <v>2029.2372501089026</v>
      </c>
      <c r="D66" s="14">
        <f t="shared" si="5"/>
        <v>2817.2619408784994</v>
      </c>
      <c r="E66" s="14">
        <f t="shared" si="6"/>
        <v>378881.93520339631</v>
      </c>
      <c r="F66" s="14">
        <f t="shared" si="7"/>
        <v>788.02469076961279</v>
      </c>
      <c r="H66" s="16"/>
      <c r="I66" s="16"/>
    </row>
    <row r="67" spans="1:9">
      <c r="A67" s="9">
        <v>63</v>
      </c>
      <c r="B67" s="14">
        <f t="shared" si="4"/>
        <v>378881.93520339631</v>
      </c>
      <c r="C67" s="145">
        <f>B67*'Saisie, cash-flow, rendement'!H$16</f>
        <v>2025.0254629636647</v>
      </c>
      <c r="D67" s="14">
        <f t="shared" si="5"/>
        <v>2817.2619408784994</v>
      </c>
      <c r="E67" s="14">
        <f t="shared" si="6"/>
        <v>378089.69872548146</v>
      </c>
      <c r="F67" s="14">
        <f t="shared" si="7"/>
        <v>792.23647791484836</v>
      </c>
      <c r="H67" s="16"/>
      <c r="I67" s="16"/>
    </row>
    <row r="68" spans="1:9">
      <c r="A68" s="9">
        <v>64</v>
      </c>
      <c r="B68" s="14">
        <f t="shared" si="4"/>
        <v>378089.69872548146</v>
      </c>
      <c r="C68" s="145">
        <f>B68*'Saisie, cash-flow, rendement'!H$16</f>
        <v>2020.7911649108821</v>
      </c>
      <c r="D68" s="14">
        <f t="shared" si="5"/>
        <v>2817.2619408784994</v>
      </c>
      <c r="E68" s="14">
        <f t="shared" si="6"/>
        <v>377293.22794951382</v>
      </c>
      <c r="F68" s="14">
        <f t="shared" si="7"/>
        <v>796.47077596763847</v>
      </c>
      <c r="H68" s="16"/>
      <c r="I68" s="16"/>
    </row>
    <row r="69" spans="1:9">
      <c r="A69" s="9">
        <v>65</v>
      </c>
      <c r="B69" s="14">
        <f t="shared" si="4"/>
        <v>377293.22794951382</v>
      </c>
      <c r="C69" s="145">
        <f>B69*'Saisie, cash-flow, rendement'!H$16</f>
        <v>2016.5342356356052</v>
      </c>
      <c r="D69" s="14">
        <f t="shared" si="5"/>
        <v>2817.2619408784994</v>
      </c>
      <c r="E69" s="14">
        <f t="shared" si="6"/>
        <v>376492.50024427089</v>
      </c>
      <c r="F69" s="14">
        <f t="shared" si="7"/>
        <v>800.72770524292719</v>
      </c>
      <c r="H69" s="16"/>
      <c r="I69" s="16"/>
    </row>
    <row r="70" spans="1:9">
      <c r="A70" s="9">
        <v>66</v>
      </c>
      <c r="B70" s="14">
        <f t="shared" si="4"/>
        <v>376492.50024427089</v>
      </c>
      <c r="C70" s="145">
        <f>B70*'Saisie, cash-flow, rendement'!H$16</f>
        <v>2012.2545541798322</v>
      </c>
      <c r="D70" s="14">
        <f t="shared" si="5"/>
        <v>2817.2619408784994</v>
      </c>
      <c r="E70" s="14">
        <f t="shared" si="6"/>
        <v>375687.49285757222</v>
      </c>
      <c r="F70" s="14">
        <f t="shared" si="7"/>
        <v>805.0073866986786</v>
      </c>
      <c r="H70" s="16"/>
      <c r="I70" s="16"/>
    </row>
    <row r="71" spans="1:9">
      <c r="A71" s="9">
        <v>67</v>
      </c>
      <c r="B71" s="14">
        <f t="shared" si="4"/>
        <v>375687.49285757222</v>
      </c>
      <c r="C71" s="145">
        <f>B71*'Saisie, cash-flow, rendement'!H$16</f>
        <v>2007.9519989390722</v>
      </c>
      <c r="D71" s="14">
        <f t="shared" si="5"/>
        <v>2817.2619408784994</v>
      </c>
      <c r="E71" s="14">
        <f t="shared" si="6"/>
        <v>374878.18291563279</v>
      </c>
      <c r="F71" s="14">
        <f t="shared" si="7"/>
        <v>809.30994193942752</v>
      </c>
      <c r="H71" s="16"/>
      <c r="I71" s="16"/>
    </row>
    <row r="72" spans="1:9">
      <c r="A72" s="9">
        <v>68</v>
      </c>
      <c r="B72" s="14">
        <f t="shared" si="4"/>
        <v>374878.18291563279</v>
      </c>
      <c r="C72" s="145">
        <f>B72*'Saisie, cash-flow, rendement'!H$16</f>
        <v>2003.6264476588899</v>
      </c>
      <c r="D72" s="14">
        <f t="shared" si="5"/>
        <v>2817.2619408784994</v>
      </c>
      <c r="E72" s="14">
        <f t="shared" si="6"/>
        <v>374064.54742241313</v>
      </c>
      <c r="F72" s="14">
        <f t="shared" si="7"/>
        <v>813.63549321965547</v>
      </c>
      <c r="H72" s="16"/>
      <c r="I72" s="16"/>
    </row>
    <row r="73" spans="1:9">
      <c r="A73" s="9">
        <v>69</v>
      </c>
      <c r="B73" s="14">
        <f t="shared" si="4"/>
        <v>374064.54742241313</v>
      </c>
      <c r="C73" s="145">
        <f>B73*'Saisie, cash-flow, rendement'!H$16</f>
        <v>1999.2777774314316</v>
      </c>
      <c r="D73" s="14">
        <f t="shared" si="5"/>
        <v>2817.2619408784994</v>
      </c>
      <c r="E73" s="14">
        <f t="shared" si="6"/>
        <v>373246.56325896602</v>
      </c>
      <c r="F73" s="14">
        <f t="shared" si="7"/>
        <v>817.98416344710859</v>
      </c>
      <c r="H73" s="16"/>
      <c r="I73" s="16"/>
    </row>
    <row r="74" spans="1:9">
      <c r="A74" s="9">
        <v>70</v>
      </c>
      <c r="B74" s="14">
        <f t="shared" si="4"/>
        <v>373246.56325896602</v>
      </c>
      <c r="C74" s="145">
        <f>B74*'Saisie, cash-flow, rendement'!H$16</f>
        <v>1994.9058646919336</v>
      </c>
      <c r="D74" s="14">
        <f t="shared" si="5"/>
        <v>2817.2619408784994</v>
      </c>
      <c r="E74" s="14">
        <f t="shared" si="6"/>
        <v>372424.20718277944</v>
      </c>
      <c r="F74" s="14">
        <f t="shared" si="7"/>
        <v>822.35607618658105</v>
      </c>
      <c r="H74" s="16"/>
      <c r="I74" s="16"/>
    </row>
    <row r="75" spans="1:9">
      <c r="A75" s="9">
        <v>71</v>
      </c>
      <c r="B75" s="14">
        <f t="shared" si="4"/>
        <v>372424.20718277944</v>
      </c>
      <c r="C75" s="145">
        <f>B75*'Saisie, cash-flow, rendement'!H$16</f>
        <v>1990.5105852152101</v>
      </c>
      <c r="D75" s="14">
        <f t="shared" si="5"/>
        <v>2817.2619408784994</v>
      </c>
      <c r="E75" s="14">
        <f t="shared" si="6"/>
        <v>371597.45582711615</v>
      </c>
      <c r="F75" s="14">
        <f t="shared" si="7"/>
        <v>826.75135566329118</v>
      </c>
      <c r="H75" s="16"/>
      <c r="I75" s="16"/>
    </row>
    <row r="76" spans="1:9">
      <c r="A76" s="18">
        <v>72</v>
      </c>
      <c r="B76" s="19">
        <f t="shared" si="4"/>
        <v>371597.45582711615</v>
      </c>
      <c r="C76" s="145">
        <f>B76*'Saisie, cash-flow, rendement'!H$16</f>
        <v>1986.0918141121247</v>
      </c>
      <c r="D76" s="19">
        <f t="shared" si="5"/>
        <v>2817.2619408784994</v>
      </c>
      <c r="E76" s="19">
        <f t="shared" si="6"/>
        <v>370766.28570034978</v>
      </c>
      <c r="F76" s="19">
        <f t="shared" si="7"/>
        <v>831.17012676637387</v>
      </c>
      <c r="G76" s="18" t="s">
        <v>24</v>
      </c>
      <c r="H76" s="20">
        <f>SUM(C65:C76)</f>
        <v>24119.633801869462</v>
      </c>
      <c r="I76" s="20">
        <f>SUM(F65:F76)</f>
        <v>9687.5094886727748</v>
      </c>
    </row>
    <row r="77" spans="1:9">
      <c r="A77" s="9">
        <v>73</v>
      </c>
      <c r="B77" s="14">
        <f t="shared" si="4"/>
        <v>370766.28570034978</v>
      </c>
      <c r="C77" s="145">
        <f>B77*'Saisie, cash-flow, rendement'!H$16</f>
        <v>1981.64942582604</v>
      </c>
      <c r="D77" s="14">
        <f t="shared" si="5"/>
        <v>2817.2619408784994</v>
      </c>
      <c r="E77" s="14">
        <f t="shared" si="6"/>
        <v>369930.67318529729</v>
      </c>
      <c r="F77" s="14">
        <f t="shared" si="7"/>
        <v>835.61251505248947</v>
      </c>
      <c r="H77" s="16"/>
      <c r="I77" s="16"/>
    </row>
    <row r="78" spans="1:9">
      <c r="A78" s="9">
        <v>74</v>
      </c>
      <c r="B78" s="14">
        <f t="shared" si="4"/>
        <v>369930.67318529729</v>
      </c>
      <c r="C78" s="145">
        <f>B78*'Saisie, cash-flow, rendement'!H$16</f>
        <v>1977.1832941292516</v>
      </c>
      <c r="D78" s="14">
        <f t="shared" si="5"/>
        <v>2817.2619408784994</v>
      </c>
      <c r="E78" s="14">
        <f t="shared" si="6"/>
        <v>369090.59453854803</v>
      </c>
      <c r="F78" s="14">
        <f t="shared" si="7"/>
        <v>840.07864674925804</v>
      </c>
      <c r="H78" s="16"/>
      <c r="I78" s="16"/>
    </row>
    <row r="79" spans="1:9">
      <c r="A79" s="9">
        <v>75</v>
      </c>
      <c r="B79" s="14">
        <f t="shared" si="4"/>
        <v>369090.59453854803</v>
      </c>
      <c r="C79" s="145">
        <f>B79*'Saisie, cash-flow, rendement'!H$16</f>
        <v>1972.6932921194011</v>
      </c>
      <c r="D79" s="14">
        <f t="shared" si="5"/>
        <v>2817.2619408784994</v>
      </c>
      <c r="E79" s="14">
        <f t="shared" si="6"/>
        <v>368246.02588978893</v>
      </c>
      <c r="F79" s="14">
        <f t="shared" si="7"/>
        <v>844.56864875910105</v>
      </c>
      <c r="H79" s="16"/>
      <c r="I79" s="16"/>
    </row>
    <row r="80" spans="1:9">
      <c r="A80" s="9">
        <v>76</v>
      </c>
      <c r="B80" s="14">
        <f t="shared" si="4"/>
        <v>368246.02588978893</v>
      </c>
      <c r="C80" s="145">
        <f>B80*'Saisie, cash-flow, rendement'!H$16</f>
        <v>1968.1792922158695</v>
      </c>
      <c r="D80" s="14">
        <f t="shared" si="5"/>
        <v>2817.2619408784994</v>
      </c>
      <c r="E80" s="14">
        <f t="shared" si="6"/>
        <v>367396.94324112625</v>
      </c>
      <c r="F80" s="14">
        <f t="shared" si="7"/>
        <v>849.08264866267564</v>
      </c>
      <c r="H80" s="16"/>
      <c r="I80" s="16"/>
    </row>
    <row r="81" spans="1:9">
      <c r="A81" s="9">
        <v>77</v>
      </c>
      <c r="B81" s="14">
        <f t="shared" si="4"/>
        <v>367396.94324112625</v>
      </c>
      <c r="C81" s="145">
        <f>B81*'Saisie, cash-flow, rendement'!H$16</f>
        <v>1963.6411661561526</v>
      </c>
      <c r="D81" s="14">
        <f t="shared" si="5"/>
        <v>2817.2619408784994</v>
      </c>
      <c r="E81" s="14">
        <f t="shared" si="6"/>
        <v>366543.32246640389</v>
      </c>
      <c r="F81" s="14">
        <f t="shared" si="7"/>
        <v>853.62077472236706</v>
      </c>
      <c r="H81" s="16"/>
      <c r="I81" s="16"/>
    </row>
    <row r="82" spans="1:9">
      <c r="A82" s="9">
        <v>78</v>
      </c>
      <c r="B82" s="14">
        <f t="shared" si="4"/>
        <v>366543.32246640389</v>
      </c>
      <c r="C82" s="145">
        <f>B82*'Saisie, cash-flow, rendement'!H$16</f>
        <v>1959.0787849922167</v>
      </c>
      <c r="D82" s="14">
        <f t="shared" si="5"/>
        <v>2817.2619408784994</v>
      </c>
      <c r="E82" s="14">
        <f t="shared" si="6"/>
        <v>365685.13931051758</v>
      </c>
      <c r="F82" s="14">
        <f t="shared" si="7"/>
        <v>858.18315588630503</v>
      </c>
      <c r="H82" s="16"/>
      <c r="I82" s="16"/>
    </row>
    <row r="83" spans="1:9">
      <c r="A83" s="9">
        <v>79</v>
      </c>
      <c r="B83" s="14">
        <f t="shared" si="4"/>
        <v>365685.13931051758</v>
      </c>
      <c r="C83" s="145">
        <f>B83*'Saisie, cash-flow, rendement'!H$16</f>
        <v>1954.492019086834</v>
      </c>
      <c r="D83" s="14">
        <f t="shared" si="5"/>
        <v>2817.2619408784994</v>
      </c>
      <c r="E83" s="14">
        <f t="shared" si="6"/>
        <v>364822.3693887259</v>
      </c>
      <c r="F83" s="14">
        <f t="shared" si="7"/>
        <v>862.76992179168155</v>
      </c>
      <c r="H83" s="16"/>
      <c r="I83" s="16"/>
    </row>
    <row r="84" spans="1:9">
      <c r="A84" s="9">
        <v>80</v>
      </c>
      <c r="B84" s="14">
        <f t="shared" si="4"/>
        <v>364822.3693887259</v>
      </c>
      <c r="C84" s="145">
        <f>B84*'Saisie, cash-flow, rendement'!H$16</f>
        <v>1949.8807381099002</v>
      </c>
      <c r="D84" s="14">
        <f t="shared" si="5"/>
        <v>2817.2619408784994</v>
      </c>
      <c r="E84" s="14">
        <f t="shared" si="6"/>
        <v>363954.98818595725</v>
      </c>
      <c r="F84" s="14">
        <f t="shared" si="7"/>
        <v>867.38120276865084</v>
      </c>
      <c r="H84" s="16"/>
      <c r="I84" s="16"/>
    </row>
    <row r="85" spans="1:9">
      <c r="A85" s="9">
        <v>81</v>
      </c>
      <c r="B85" s="14">
        <f t="shared" si="4"/>
        <v>363954.98818595725</v>
      </c>
      <c r="C85" s="145">
        <f>B85*'Saisie, cash-flow, rendement'!H$16</f>
        <v>1945.2448110347293</v>
      </c>
      <c r="D85" s="14">
        <f t="shared" si="5"/>
        <v>2817.2619408784994</v>
      </c>
      <c r="E85" s="14">
        <f t="shared" si="6"/>
        <v>363082.97105611343</v>
      </c>
      <c r="F85" s="14">
        <f t="shared" si="7"/>
        <v>872.01712984382175</v>
      </c>
      <c r="H85" s="16"/>
      <c r="I85" s="16"/>
    </row>
    <row r="86" spans="1:9">
      <c r="A86" s="9">
        <v>82</v>
      </c>
      <c r="B86" s="14">
        <f t="shared" si="4"/>
        <v>363082.97105611343</v>
      </c>
      <c r="C86" s="145">
        <f>B86*'Saisie, cash-flow, rendement'!H$16</f>
        <v>1940.5841061343326</v>
      </c>
      <c r="D86" s="14">
        <f t="shared" si="5"/>
        <v>2817.2619408784994</v>
      </c>
      <c r="E86" s="14">
        <f t="shared" si="6"/>
        <v>362206.29322136921</v>
      </c>
      <c r="F86" s="14">
        <f t="shared" si="7"/>
        <v>876.67783474421594</v>
      </c>
      <c r="H86" s="16"/>
      <c r="I86" s="16"/>
    </row>
    <row r="87" spans="1:9">
      <c r="A87" s="9">
        <v>83</v>
      </c>
      <c r="B87" s="14">
        <f t="shared" si="4"/>
        <v>362206.29322136921</v>
      </c>
      <c r="C87" s="145">
        <f>B87*'Saisie, cash-flow, rendement'!H$16</f>
        <v>1935.8984909776748</v>
      </c>
      <c r="D87" s="14">
        <f t="shared" si="5"/>
        <v>2817.2619408784994</v>
      </c>
      <c r="E87" s="14">
        <f t="shared" si="6"/>
        <v>361324.92977146833</v>
      </c>
      <c r="F87" s="14">
        <f t="shared" si="7"/>
        <v>881.36344990087673</v>
      </c>
      <c r="H87" s="16"/>
      <c r="I87" s="16"/>
    </row>
    <row r="88" spans="1:9">
      <c r="A88" s="18">
        <v>84</v>
      </c>
      <c r="B88" s="19">
        <f t="shared" si="4"/>
        <v>361324.92977146833</v>
      </c>
      <c r="C88" s="145">
        <f>B88*'Saisie, cash-flow, rendement'!H$16</f>
        <v>1931.1878324259108</v>
      </c>
      <c r="D88" s="19">
        <f t="shared" si="5"/>
        <v>2817.2619408784994</v>
      </c>
      <c r="E88" s="19">
        <f t="shared" si="6"/>
        <v>360438.85566301574</v>
      </c>
      <c r="F88" s="19">
        <f t="shared" si="7"/>
        <v>886.07410845259437</v>
      </c>
      <c r="G88" s="18" t="s">
        <v>25</v>
      </c>
      <c r="H88" s="20">
        <f>SUM(C77:C88)</f>
        <v>23479.713253208312</v>
      </c>
      <c r="I88" s="20">
        <f>SUM(F77:F88)</f>
        <v>10327.430037334037</v>
      </c>
    </row>
    <row r="89" spans="1:9">
      <c r="A89" s="9">
        <v>85</v>
      </c>
      <c r="B89" s="14">
        <f t="shared" si="4"/>
        <v>360438.85566301574</v>
      </c>
      <c r="C89" s="145">
        <f>B89*'Saisie, cash-flow, rendement'!H$16</f>
        <v>1926.4519966286034</v>
      </c>
      <c r="D89" s="14">
        <f t="shared" si="5"/>
        <v>2817.2619408784994</v>
      </c>
      <c r="E89" s="14">
        <f t="shared" si="6"/>
        <v>359548.04571876582</v>
      </c>
      <c r="F89" s="14">
        <f t="shared" si="7"/>
        <v>890.80994424992241</v>
      </c>
      <c r="H89" s="16"/>
      <c r="I89" s="16"/>
    </row>
    <row r="90" spans="1:9">
      <c r="A90" s="9">
        <v>86</v>
      </c>
      <c r="B90" s="14">
        <f t="shared" si="4"/>
        <v>359548.04571876582</v>
      </c>
      <c r="C90" s="145">
        <f>B90*'Saisie, cash-flow, rendement'!H$16</f>
        <v>1921.6908490199191</v>
      </c>
      <c r="D90" s="14">
        <f t="shared" si="5"/>
        <v>2817.2619408784994</v>
      </c>
      <c r="E90" s="14">
        <f t="shared" si="6"/>
        <v>358652.47462690721</v>
      </c>
      <c r="F90" s="14">
        <f t="shared" si="7"/>
        <v>895.57109185861191</v>
      </c>
      <c r="H90" s="16"/>
      <c r="I90" s="16"/>
    </row>
    <row r="91" spans="1:9">
      <c r="A91" s="9">
        <v>87</v>
      </c>
      <c r="B91" s="14">
        <f t="shared" si="4"/>
        <v>358652.47462690721</v>
      </c>
      <c r="C91" s="145">
        <f>B91*'Saisie, cash-flow, rendement'!H$16</f>
        <v>1916.9042543148053</v>
      </c>
      <c r="D91" s="14">
        <f t="shared" si="5"/>
        <v>2817.2619408784994</v>
      </c>
      <c r="E91" s="14">
        <f t="shared" si="6"/>
        <v>357752.11694034346</v>
      </c>
      <c r="F91" s="14">
        <f t="shared" si="7"/>
        <v>900.35768656374421</v>
      </c>
      <c r="H91" s="16"/>
      <c r="I91" s="16"/>
    </row>
    <row r="92" spans="1:9">
      <c r="A92" s="9">
        <v>88</v>
      </c>
      <c r="B92" s="14">
        <f t="shared" si="4"/>
        <v>357752.11694034346</v>
      </c>
      <c r="C92" s="145">
        <f>B92*'Saisie, cash-flow, rendement'!H$16</f>
        <v>1912.0920765051458</v>
      </c>
      <c r="D92" s="14">
        <f t="shared" si="5"/>
        <v>2817.2619408784994</v>
      </c>
      <c r="E92" s="14">
        <f t="shared" si="6"/>
        <v>356846.94707597006</v>
      </c>
      <c r="F92" s="14">
        <f t="shared" si="7"/>
        <v>905.16986437339801</v>
      </c>
      <c r="H92" s="16"/>
      <c r="I92" s="16"/>
    </row>
    <row r="93" spans="1:9">
      <c r="A93" s="9">
        <v>89</v>
      </c>
      <c r="B93" s="14">
        <f t="shared" si="4"/>
        <v>356846.94707597006</v>
      </c>
      <c r="C93" s="145">
        <f>B93*'Saisie, cash-flow, rendement'!H$16</f>
        <v>1907.2541788558965</v>
      </c>
      <c r="D93" s="14">
        <f t="shared" si="5"/>
        <v>2817.2619408784994</v>
      </c>
      <c r="E93" s="14">
        <f t="shared" si="6"/>
        <v>355936.93931394746</v>
      </c>
      <c r="F93" s="14">
        <f t="shared" si="7"/>
        <v>910.00776202260749</v>
      </c>
      <c r="H93" s="16"/>
      <c r="I93" s="16"/>
    </row>
    <row r="94" spans="1:9">
      <c r="A94" s="9">
        <v>90</v>
      </c>
      <c r="B94" s="14">
        <f t="shared" si="4"/>
        <v>355936.93931394746</v>
      </c>
      <c r="C94" s="145">
        <f>B94*'Saisie, cash-flow, rendement'!H$16</f>
        <v>1902.3904239012004</v>
      </c>
      <c r="D94" s="14">
        <f t="shared" si="5"/>
        <v>2817.2619408784994</v>
      </c>
      <c r="E94" s="14">
        <f t="shared" si="6"/>
        <v>355022.06779697014</v>
      </c>
      <c r="F94" s="14">
        <f t="shared" si="7"/>
        <v>914.87151697732043</v>
      </c>
      <c r="H94" s="16"/>
      <c r="I94" s="16"/>
    </row>
    <row r="95" spans="1:9">
      <c r="A95" s="9">
        <v>91</v>
      </c>
      <c r="B95" s="14">
        <f t="shared" si="4"/>
        <v>355022.06779697014</v>
      </c>
      <c r="C95" s="145">
        <f>B95*'Saisie, cash-flow, rendement'!H$16</f>
        <v>1897.5006734404806</v>
      </c>
      <c r="D95" s="14">
        <f t="shared" si="5"/>
        <v>2817.2619408784994</v>
      </c>
      <c r="E95" s="14">
        <f t="shared" si="6"/>
        <v>354102.30652953207</v>
      </c>
      <c r="F95" s="14">
        <f t="shared" si="7"/>
        <v>919.76126743806526</v>
      </c>
      <c r="H95" s="16"/>
      <c r="I95" s="16"/>
    </row>
    <row r="96" spans="1:9">
      <c r="A96" s="9">
        <v>92</v>
      </c>
      <c r="B96" s="14">
        <f t="shared" si="4"/>
        <v>354102.30652953207</v>
      </c>
      <c r="C96" s="145">
        <f>B96*'Saisie, cash-flow, rendement'!H$16</f>
        <v>1892.5847885345138</v>
      </c>
      <c r="D96" s="14">
        <f t="shared" si="5"/>
        <v>2817.2619408784994</v>
      </c>
      <c r="E96" s="14">
        <f t="shared" si="6"/>
        <v>353177.62937718804</v>
      </c>
      <c r="F96" s="14">
        <f t="shared" si="7"/>
        <v>924.67715234402567</v>
      </c>
      <c r="H96" s="16"/>
      <c r="I96" s="16"/>
    </row>
    <row r="97" spans="1:9">
      <c r="A97" s="9">
        <v>93</v>
      </c>
      <c r="B97" s="14">
        <f t="shared" si="4"/>
        <v>353177.62937718804</v>
      </c>
      <c r="C97" s="145">
        <f>B97*'Saisie, cash-flow, rendement'!H$16</f>
        <v>1887.6426295014837</v>
      </c>
      <c r="D97" s="14">
        <f t="shared" si="5"/>
        <v>2817.2619408784994</v>
      </c>
      <c r="E97" s="14">
        <f t="shared" si="6"/>
        <v>352248.01006581099</v>
      </c>
      <c r="F97" s="14">
        <f t="shared" si="7"/>
        <v>929.61931137705687</v>
      </c>
      <c r="H97" s="16"/>
      <c r="I97" s="16"/>
    </row>
    <row r="98" spans="1:9">
      <c r="A98" s="9">
        <v>94</v>
      </c>
      <c r="B98" s="14">
        <f t="shared" si="4"/>
        <v>352248.01006581099</v>
      </c>
      <c r="C98" s="145">
        <f>B98*'Saisie, cash-flow, rendement'!H$16</f>
        <v>1882.6740559130103</v>
      </c>
      <c r="D98" s="14">
        <f t="shared" si="5"/>
        <v>2817.2619408784994</v>
      </c>
      <c r="E98" s="14">
        <f t="shared" si="6"/>
        <v>351313.42218084546</v>
      </c>
      <c r="F98" s="14">
        <f t="shared" si="7"/>
        <v>934.58788496552734</v>
      </c>
      <c r="H98" s="16"/>
      <c r="I98" s="16"/>
    </row>
    <row r="99" spans="1:9">
      <c r="A99" s="9">
        <v>95</v>
      </c>
      <c r="B99" s="14">
        <f t="shared" si="4"/>
        <v>351313.42218084546</v>
      </c>
      <c r="C99" s="145">
        <f>B99*'Saisie, cash-flow, rendement'!H$16</f>
        <v>1877.6789265901607</v>
      </c>
      <c r="D99" s="14">
        <f t="shared" si="5"/>
        <v>2817.2619408784994</v>
      </c>
      <c r="E99" s="14">
        <f t="shared" si="6"/>
        <v>350373.83916655713</v>
      </c>
      <c r="F99" s="14">
        <f t="shared" si="7"/>
        <v>939.58301428833511</v>
      </c>
      <c r="H99" s="16"/>
      <c r="I99" s="16"/>
    </row>
    <row r="100" spans="1:9">
      <c r="A100" s="18">
        <v>96</v>
      </c>
      <c r="B100" s="19">
        <f t="shared" si="4"/>
        <v>350373.83916655713</v>
      </c>
      <c r="C100" s="145">
        <f>B100*'Saisie, cash-flow, rendement'!H$16</f>
        <v>1872.6570995994371</v>
      </c>
      <c r="D100" s="19">
        <f t="shared" si="5"/>
        <v>2817.2619408784994</v>
      </c>
      <c r="E100" s="19">
        <f t="shared" si="6"/>
        <v>349429.23432527803</v>
      </c>
      <c r="F100" s="19">
        <f t="shared" si="7"/>
        <v>944.60484127909876</v>
      </c>
      <c r="G100" s="18" t="s">
        <v>26</v>
      </c>
      <c r="H100" s="20">
        <f>SUM(C89:C100)</f>
        <v>22797.521952804655</v>
      </c>
      <c r="I100" s="20">
        <f>SUM(F89:F100)</f>
        <v>11009.621337737713</v>
      </c>
    </row>
    <row r="101" spans="1:9">
      <c r="A101" s="9">
        <v>97</v>
      </c>
      <c r="B101" s="14">
        <f t="shared" si="4"/>
        <v>349429.23432527803</v>
      </c>
      <c r="C101" s="145">
        <f>B101*'Saisie, cash-flow, rendement'!H$16</f>
        <v>1867.6084322487436</v>
      </c>
      <c r="D101" s="14">
        <f t="shared" si="5"/>
        <v>2817.2619408784994</v>
      </c>
      <c r="E101" s="14">
        <f t="shared" si="6"/>
        <v>348479.58081664826</v>
      </c>
      <c r="F101" s="14">
        <f t="shared" si="7"/>
        <v>949.65350862976629</v>
      </c>
      <c r="H101" s="16"/>
      <c r="I101" s="16"/>
    </row>
    <row r="102" spans="1:9">
      <c r="A102" s="9">
        <v>98</v>
      </c>
      <c r="B102" s="14">
        <f t="shared" si="4"/>
        <v>348479.58081664826</v>
      </c>
      <c r="C102" s="145">
        <f>B102*'Saisie, cash-flow, rendement'!H$16</f>
        <v>1862.5327810833332</v>
      </c>
      <c r="D102" s="14">
        <f t="shared" si="5"/>
        <v>2817.2619408784994</v>
      </c>
      <c r="E102" s="14">
        <f t="shared" si="6"/>
        <v>347524.85165685305</v>
      </c>
      <c r="F102" s="14">
        <f t="shared" si="7"/>
        <v>954.72915979521349</v>
      </c>
      <c r="H102" s="16"/>
      <c r="I102" s="16"/>
    </row>
    <row r="103" spans="1:9">
      <c r="A103" s="9">
        <v>99</v>
      </c>
      <c r="B103" s="14">
        <f t="shared" ref="B103:B166" si="8">E102</f>
        <v>347524.85165685305</v>
      </c>
      <c r="C103" s="145">
        <f>B103*'Saisie, cash-flow, rendement'!H$16</f>
        <v>1857.4300018817296</v>
      </c>
      <c r="D103" s="14">
        <f t="shared" ref="D103:D166" si="9">D102</f>
        <v>2817.2619408784994</v>
      </c>
      <c r="E103" s="14">
        <f t="shared" ref="E103:E166" si="10">B103+C103-D103</f>
        <v>346565.01971785625</v>
      </c>
      <c r="F103" s="14">
        <f t="shared" ref="F103:F166" si="11">B103-E103</f>
        <v>959.83193899679463</v>
      </c>
      <c r="H103" s="16"/>
      <c r="I103" s="16"/>
    </row>
    <row r="104" spans="1:9">
      <c r="A104" s="9">
        <v>100</v>
      </c>
      <c r="B104" s="14">
        <f t="shared" si="8"/>
        <v>346565.01971785625</v>
      </c>
      <c r="C104" s="145">
        <f>B104*'Saisie, cash-flow, rendement'!H$16</f>
        <v>1852.2999496516309</v>
      </c>
      <c r="D104" s="14">
        <f t="shared" si="9"/>
        <v>2817.2619408784994</v>
      </c>
      <c r="E104" s="14">
        <f t="shared" si="10"/>
        <v>345600.05772662937</v>
      </c>
      <c r="F104" s="14">
        <f t="shared" si="11"/>
        <v>964.96199122688267</v>
      </c>
      <c r="H104" s="16"/>
      <c r="I104" s="16"/>
    </row>
    <row r="105" spans="1:9">
      <c r="A105" s="9">
        <v>101</v>
      </c>
      <c r="B105" s="14">
        <f t="shared" si="8"/>
        <v>345600.05772662937</v>
      </c>
      <c r="C105" s="145">
        <f>B105*'Saisie, cash-flow, rendement'!H$16</f>
        <v>1847.1424786257887</v>
      </c>
      <c r="D105" s="14">
        <f t="shared" si="9"/>
        <v>2817.2619408784994</v>
      </c>
      <c r="E105" s="14">
        <f t="shared" si="10"/>
        <v>344629.93826437666</v>
      </c>
      <c r="F105" s="14">
        <f t="shared" si="11"/>
        <v>970.11946225271095</v>
      </c>
      <c r="H105" s="16"/>
      <c r="I105" s="16"/>
    </row>
    <row r="106" spans="1:9">
      <c r="A106" s="9">
        <v>102</v>
      </c>
      <c r="B106" s="14">
        <f t="shared" si="8"/>
        <v>344629.93826437666</v>
      </c>
      <c r="C106" s="145">
        <f>B106*'Saisie, cash-flow, rendement'!H$16</f>
        <v>1841.9574422578664</v>
      </c>
      <c r="D106" s="14">
        <f t="shared" si="9"/>
        <v>2817.2619408784994</v>
      </c>
      <c r="E106" s="14">
        <f t="shared" si="10"/>
        <v>343654.63376575598</v>
      </c>
      <c r="F106" s="14">
        <f t="shared" si="11"/>
        <v>975.30449862068053</v>
      </c>
      <c r="H106" s="16"/>
      <c r="I106" s="16"/>
    </row>
    <row r="107" spans="1:9">
      <c r="A107" s="9">
        <v>103</v>
      </c>
      <c r="B107" s="14">
        <f t="shared" si="8"/>
        <v>343654.63376575598</v>
      </c>
      <c r="C107" s="145">
        <f>B107*'Saisie, cash-flow, rendement'!H$16</f>
        <v>1836.7446932182754</v>
      </c>
      <c r="D107" s="14">
        <f t="shared" si="9"/>
        <v>2817.2619408784994</v>
      </c>
      <c r="E107" s="14">
        <f t="shared" si="10"/>
        <v>342674.11651809572</v>
      </c>
      <c r="F107" s="14">
        <f t="shared" si="11"/>
        <v>980.51724766026018</v>
      </c>
      <c r="H107" s="16"/>
      <c r="I107" s="16"/>
    </row>
    <row r="108" spans="1:9">
      <c r="A108" s="9">
        <v>104</v>
      </c>
      <c r="B108" s="14">
        <f t="shared" si="8"/>
        <v>342674.11651809572</v>
      </c>
      <c r="C108" s="145">
        <f>B108*'Saisie, cash-flow, rendement'!H$16</f>
        <v>1831.5040833899891</v>
      </c>
      <c r="D108" s="14">
        <f t="shared" si="9"/>
        <v>2817.2619408784994</v>
      </c>
      <c r="E108" s="14">
        <f t="shared" si="10"/>
        <v>341688.35866060719</v>
      </c>
      <c r="F108" s="14">
        <f t="shared" si="11"/>
        <v>985.7578574885265</v>
      </c>
      <c r="H108" s="16"/>
      <c r="I108" s="16"/>
    </row>
    <row r="109" spans="1:9">
      <c r="A109" s="9">
        <v>105</v>
      </c>
      <c r="B109" s="14">
        <f t="shared" si="8"/>
        <v>341688.35866060719</v>
      </c>
      <c r="C109" s="145">
        <f>B109*'Saisie, cash-flow, rendement'!H$16</f>
        <v>1826.2354638643335</v>
      </c>
      <c r="D109" s="14">
        <f t="shared" si="9"/>
        <v>2817.2619408784994</v>
      </c>
      <c r="E109" s="14">
        <f t="shared" si="10"/>
        <v>340697.33218359301</v>
      </c>
      <c r="F109" s="14">
        <f t="shared" si="11"/>
        <v>991.02647701418027</v>
      </c>
      <c r="H109" s="16"/>
      <c r="I109" s="16"/>
    </row>
    <row r="110" spans="1:9">
      <c r="A110" s="9">
        <v>106</v>
      </c>
      <c r="B110" s="14">
        <f t="shared" si="8"/>
        <v>340697.33218359301</v>
      </c>
      <c r="C110" s="145">
        <f>B110*'Saisie, cash-flow, rendement'!H$16</f>
        <v>1820.9386849367565</v>
      </c>
      <c r="D110" s="14">
        <f t="shared" si="9"/>
        <v>2817.2619408784994</v>
      </c>
      <c r="E110" s="14">
        <f t="shared" si="10"/>
        <v>339701.00892765122</v>
      </c>
      <c r="F110" s="14">
        <f t="shared" si="11"/>
        <v>996.32325594179565</v>
      </c>
      <c r="H110" s="16"/>
      <c r="I110" s="16"/>
    </row>
    <row r="111" spans="1:9">
      <c r="A111" s="9">
        <v>107</v>
      </c>
      <c r="B111" s="14">
        <f t="shared" si="8"/>
        <v>339701.00892765122</v>
      </c>
      <c r="C111" s="145">
        <f>B111*'Saisie, cash-flow, rendement'!H$16</f>
        <v>1815.6135961025743</v>
      </c>
      <c r="D111" s="14">
        <f t="shared" si="9"/>
        <v>2817.2619408784994</v>
      </c>
      <c r="E111" s="14">
        <f t="shared" si="10"/>
        <v>338699.36058287526</v>
      </c>
      <c r="F111" s="14">
        <f t="shared" si="11"/>
        <v>1001.6483447759529</v>
      </c>
      <c r="H111" s="16"/>
      <c r="I111" s="16"/>
    </row>
    <row r="112" spans="1:9">
      <c r="A112" s="18">
        <v>108</v>
      </c>
      <c r="B112" s="19">
        <f t="shared" si="8"/>
        <v>338699.36058287526</v>
      </c>
      <c r="C112" s="145">
        <f>B112*'Saisie, cash-flow, rendement'!H$16</f>
        <v>1810.2600460526944</v>
      </c>
      <c r="D112" s="19">
        <f t="shared" si="9"/>
        <v>2817.2619408784994</v>
      </c>
      <c r="E112" s="19">
        <f t="shared" si="10"/>
        <v>337692.35868804943</v>
      </c>
      <c r="F112" s="19">
        <f t="shared" si="11"/>
        <v>1007.0018948258366</v>
      </c>
      <c r="G112" s="18" t="s">
        <v>27</v>
      </c>
      <c r="H112" s="20">
        <f>SUM(C101:C112)</f>
        <v>22070.267653313716</v>
      </c>
      <c r="I112" s="20">
        <f>SUM(F101:F112)</f>
        <v>11736.875637228601</v>
      </c>
    </row>
    <row r="113" spans="1:9">
      <c r="A113" s="9">
        <v>109</v>
      </c>
      <c r="B113" s="14">
        <f t="shared" si="8"/>
        <v>337692.35868804943</v>
      </c>
      <c r="C113" s="145">
        <f>B113*'Saisie, cash-flow, rendement'!H$16</f>
        <v>1804.8778826693167</v>
      </c>
      <c r="D113" s="14">
        <f t="shared" si="9"/>
        <v>2817.2619408784994</v>
      </c>
      <c r="E113" s="14">
        <f t="shared" si="10"/>
        <v>336679.97462984023</v>
      </c>
      <c r="F113" s="14">
        <f t="shared" si="11"/>
        <v>1012.3840582091943</v>
      </c>
      <c r="H113" s="16"/>
      <c r="I113" s="16"/>
    </row>
    <row r="114" spans="1:9">
      <c r="A114" s="9">
        <v>110</v>
      </c>
      <c r="B114" s="14">
        <f t="shared" si="8"/>
        <v>336679.97462984023</v>
      </c>
      <c r="C114" s="145">
        <f>B114*'Saisie, cash-flow, rendement'!H$16</f>
        <v>1799.4669530216113</v>
      </c>
      <c r="D114" s="14">
        <f t="shared" si="9"/>
        <v>2817.2619408784994</v>
      </c>
      <c r="E114" s="14">
        <f t="shared" si="10"/>
        <v>335662.1796419833</v>
      </c>
      <c r="F114" s="14">
        <f t="shared" si="11"/>
        <v>1017.7949878569343</v>
      </c>
      <c r="H114" s="16"/>
      <c r="I114" s="16"/>
    </row>
    <row r="115" spans="1:9">
      <c r="A115" s="9">
        <v>111</v>
      </c>
      <c r="B115" s="14">
        <f t="shared" si="8"/>
        <v>335662.1796419833</v>
      </c>
      <c r="C115" s="145">
        <f>B115*'Saisie, cash-flow, rendement'!H$16</f>
        <v>1794.0271033613717</v>
      </c>
      <c r="D115" s="14">
        <f t="shared" si="9"/>
        <v>2817.2619408784994</v>
      </c>
      <c r="E115" s="14">
        <f t="shared" si="10"/>
        <v>334638.94480446615</v>
      </c>
      <c r="F115" s="14">
        <f t="shared" si="11"/>
        <v>1023.2348375171423</v>
      </c>
      <c r="H115" s="16"/>
      <c r="I115" s="16"/>
    </row>
    <row r="116" spans="1:9">
      <c r="A116" s="9">
        <v>112</v>
      </c>
      <c r="B116" s="14">
        <f t="shared" si="8"/>
        <v>334638.94480446615</v>
      </c>
      <c r="C116" s="145">
        <f>B116*'Saisie, cash-flow, rendement'!H$16</f>
        <v>1788.5581791186487</v>
      </c>
      <c r="D116" s="14">
        <f t="shared" si="9"/>
        <v>2817.2619408784994</v>
      </c>
      <c r="E116" s="14">
        <f t="shared" si="10"/>
        <v>333610.2410427063</v>
      </c>
      <c r="F116" s="14">
        <f t="shared" si="11"/>
        <v>1028.7037617598544</v>
      </c>
      <c r="H116" s="16"/>
      <c r="I116" s="16"/>
    </row>
    <row r="117" spans="1:9">
      <c r="A117" s="9">
        <v>113</v>
      </c>
      <c r="B117" s="14">
        <f t="shared" si="8"/>
        <v>333610.2410427063</v>
      </c>
      <c r="C117" s="145">
        <f>B117*'Saisie, cash-flow, rendement'!H$16</f>
        <v>1783.0600248973556</v>
      </c>
      <c r="D117" s="14">
        <f t="shared" si="9"/>
        <v>2817.2619408784994</v>
      </c>
      <c r="E117" s="14">
        <f t="shared" si="10"/>
        <v>332576.03912672511</v>
      </c>
      <c r="F117" s="14">
        <f t="shared" si="11"/>
        <v>1034.2019159811898</v>
      </c>
      <c r="H117" s="16"/>
      <c r="I117" s="16"/>
    </row>
    <row r="118" spans="1:9">
      <c r="A118" s="9">
        <v>114</v>
      </c>
      <c r="B118" s="14">
        <f t="shared" si="8"/>
        <v>332576.03912672511</v>
      </c>
      <c r="C118" s="145">
        <f>B118*'Saisie, cash-flow, rendement'!H$16</f>
        <v>1777.5324844708546</v>
      </c>
      <c r="D118" s="14">
        <f t="shared" si="9"/>
        <v>2817.2619408784994</v>
      </c>
      <c r="E118" s="14">
        <f t="shared" si="10"/>
        <v>331536.30967031745</v>
      </c>
      <c r="F118" s="14">
        <f t="shared" si="11"/>
        <v>1039.7294564076583</v>
      </c>
      <c r="H118" s="16"/>
      <c r="I118" s="16"/>
    </row>
    <row r="119" spans="1:9">
      <c r="A119" s="9">
        <v>115</v>
      </c>
      <c r="B119" s="14">
        <f t="shared" si="8"/>
        <v>331536.30967031745</v>
      </c>
      <c r="C119" s="145">
        <f>B119*'Saisie, cash-flow, rendement'!H$16</f>
        <v>1771.9754007775173</v>
      </c>
      <c r="D119" s="14">
        <f t="shared" si="9"/>
        <v>2817.2619408784994</v>
      </c>
      <c r="E119" s="14">
        <f t="shared" si="10"/>
        <v>330491.02313021646</v>
      </c>
      <c r="F119" s="14">
        <f t="shared" si="11"/>
        <v>1045.2865401009913</v>
      </c>
      <c r="H119" s="16"/>
      <c r="I119" s="16"/>
    </row>
    <row r="120" spans="1:9">
      <c r="A120" s="9">
        <v>116</v>
      </c>
      <c r="B120" s="14">
        <f t="shared" si="8"/>
        <v>330491.02313021646</v>
      </c>
      <c r="C120" s="145">
        <f>B120*'Saisie, cash-flow, rendement'!H$16</f>
        <v>1766.3886159162614</v>
      </c>
      <c r="D120" s="14">
        <f t="shared" si="9"/>
        <v>2817.2619408784994</v>
      </c>
      <c r="E120" s="14">
        <f t="shared" si="10"/>
        <v>329440.14980525419</v>
      </c>
      <c r="F120" s="14">
        <f t="shared" si="11"/>
        <v>1050.8733249622746</v>
      </c>
      <c r="H120" s="16"/>
      <c r="I120" s="16"/>
    </row>
    <row r="121" spans="1:9">
      <c r="A121" s="9">
        <v>117</v>
      </c>
      <c r="B121" s="14">
        <f t="shared" si="8"/>
        <v>329440.14980525419</v>
      </c>
      <c r="C121" s="145">
        <f>B121*'Saisie, cash-flow, rendement'!H$16</f>
        <v>1760.7719711420641</v>
      </c>
      <c r="D121" s="14">
        <f t="shared" si="9"/>
        <v>2817.2619408784994</v>
      </c>
      <c r="E121" s="14">
        <f t="shared" si="10"/>
        <v>328383.6598355177</v>
      </c>
      <c r="F121" s="14">
        <f t="shared" si="11"/>
        <v>1056.489969736489</v>
      </c>
      <c r="H121" s="16"/>
      <c r="I121" s="16"/>
    </row>
    <row r="122" spans="1:9">
      <c r="A122" s="9">
        <v>118</v>
      </c>
      <c r="B122" s="14">
        <f t="shared" si="8"/>
        <v>328383.6598355177</v>
      </c>
      <c r="C122" s="145">
        <f>B122*'Saisie, cash-flow, rendement'!H$16</f>
        <v>1755.1253068614524</v>
      </c>
      <c r="D122" s="14">
        <f t="shared" si="9"/>
        <v>2817.2619408784994</v>
      </c>
      <c r="E122" s="14">
        <f t="shared" si="10"/>
        <v>327321.52320150065</v>
      </c>
      <c r="F122" s="14">
        <f t="shared" si="11"/>
        <v>1062.1366340170498</v>
      </c>
      <c r="H122" s="16"/>
      <c r="I122" s="16"/>
    </row>
    <row r="123" spans="1:9">
      <c r="A123" s="9">
        <v>119</v>
      </c>
      <c r="B123" s="14">
        <f t="shared" si="8"/>
        <v>327321.52320150065</v>
      </c>
      <c r="C123" s="145">
        <f>B123*'Saisie, cash-flow, rendement'!H$16</f>
        <v>1749.4484626279673</v>
      </c>
      <c r="D123" s="14">
        <f t="shared" si="9"/>
        <v>2817.2619408784994</v>
      </c>
      <c r="E123" s="14">
        <f t="shared" si="10"/>
        <v>326253.70972325007</v>
      </c>
      <c r="F123" s="14">
        <f t="shared" si="11"/>
        <v>1067.8134782505804</v>
      </c>
      <c r="H123" s="16"/>
      <c r="I123" s="16"/>
    </row>
    <row r="124" spans="1:9">
      <c r="A124" s="18">
        <v>120</v>
      </c>
      <c r="B124" s="19">
        <f t="shared" si="8"/>
        <v>326253.70972325007</v>
      </c>
      <c r="C124" s="145">
        <f>B124*'Saisie, cash-flow, rendement'!H$16</f>
        <v>1743.7412771376048</v>
      </c>
      <c r="D124" s="19">
        <f t="shared" si="9"/>
        <v>2817.2619408784994</v>
      </c>
      <c r="E124" s="19">
        <f t="shared" si="10"/>
        <v>325180.18905950914</v>
      </c>
      <c r="F124" s="19">
        <f t="shared" si="11"/>
        <v>1073.5206637409283</v>
      </c>
      <c r="G124" s="18" t="s">
        <v>28</v>
      </c>
      <c r="H124" s="20">
        <f>SUM(C113:C124)</f>
        <v>21294.973662002023</v>
      </c>
      <c r="I124" s="20">
        <f>SUM(F113:F124)</f>
        <v>12512.169628540287</v>
      </c>
    </row>
    <row r="125" spans="1:9">
      <c r="A125" s="9">
        <v>121</v>
      </c>
      <c r="B125" s="14">
        <f t="shared" si="8"/>
        <v>325180.18905950914</v>
      </c>
      <c r="C125" s="145">
        <f>B125*'Saisie, cash-flow, rendement'!H$16</f>
        <v>1738.0035882242341</v>
      </c>
      <c r="D125" s="14">
        <f t="shared" si="9"/>
        <v>2817.2619408784994</v>
      </c>
      <c r="E125" s="14">
        <f t="shared" si="10"/>
        <v>324100.93070685485</v>
      </c>
      <c r="F125" s="14">
        <f t="shared" si="11"/>
        <v>1079.2583526542876</v>
      </c>
      <c r="H125" s="16"/>
      <c r="I125" s="16"/>
    </row>
    <row r="126" spans="1:9">
      <c r="A126" s="9">
        <v>122</v>
      </c>
      <c r="B126" s="14">
        <f t="shared" si="8"/>
        <v>324100.93070685485</v>
      </c>
      <c r="C126" s="145">
        <f>B126*'Saisie, cash-flow, rendement'!H$16</f>
        <v>1732.2352328549871</v>
      </c>
      <c r="D126" s="14">
        <f t="shared" si="9"/>
        <v>2817.2619408784994</v>
      </c>
      <c r="E126" s="14">
        <f t="shared" si="10"/>
        <v>323015.90399883129</v>
      </c>
      <c r="F126" s="14">
        <f t="shared" si="11"/>
        <v>1085.0267080235644</v>
      </c>
      <c r="H126" s="16"/>
      <c r="I126" s="16"/>
    </row>
    <row r="127" spans="1:9">
      <c r="A127" s="9">
        <v>123</v>
      </c>
      <c r="B127" s="14">
        <f t="shared" si="8"/>
        <v>323015.90399883129</v>
      </c>
      <c r="C127" s="145">
        <f>B127*'Saisie, cash-flow, rendement'!H$16</f>
        <v>1726.4360471256284</v>
      </c>
      <c r="D127" s="14">
        <f t="shared" si="9"/>
        <v>2817.2619408784994</v>
      </c>
      <c r="E127" s="14">
        <f t="shared" si="10"/>
        <v>321925.07810507837</v>
      </c>
      <c r="F127" s="14">
        <f t="shared" si="11"/>
        <v>1090.8258937529172</v>
      </c>
      <c r="H127" s="16"/>
      <c r="I127" s="16"/>
    </row>
    <row r="128" spans="1:9">
      <c r="A128" s="9">
        <v>124</v>
      </c>
      <c r="B128" s="14">
        <f t="shared" si="8"/>
        <v>321925.07810507837</v>
      </c>
      <c r="C128" s="145">
        <f>B128*'Saisie, cash-flow, rendement'!H$16</f>
        <v>1720.6058662558967</v>
      </c>
      <c r="D128" s="14">
        <f t="shared" si="9"/>
        <v>2817.2619408784994</v>
      </c>
      <c r="E128" s="14">
        <f t="shared" si="10"/>
        <v>320828.42203045572</v>
      </c>
      <c r="F128" s="14">
        <f t="shared" si="11"/>
        <v>1096.656074622646</v>
      </c>
      <c r="H128" s="16"/>
      <c r="I128" s="16"/>
    </row>
    <row r="129" spans="1:9">
      <c r="A129" s="9">
        <v>125</v>
      </c>
      <c r="B129" s="14">
        <f t="shared" si="8"/>
        <v>320828.42203045572</v>
      </c>
      <c r="C129" s="145">
        <f>B129*'Saisie, cash-flow, rendement'!H$16</f>
        <v>1714.7445245848232</v>
      </c>
      <c r="D129" s="14">
        <f t="shared" si="9"/>
        <v>2817.2619408784994</v>
      </c>
      <c r="E129" s="14">
        <f t="shared" si="10"/>
        <v>319725.90461416205</v>
      </c>
      <c r="F129" s="14">
        <f t="shared" si="11"/>
        <v>1102.5174162936746</v>
      </c>
      <c r="H129" s="16"/>
      <c r="I129" s="16"/>
    </row>
    <row r="130" spans="1:9">
      <c r="A130" s="9">
        <v>126</v>
      </c>
      <c r="B130" s="14">
        <f t="shared" si="8"/>
        <v>319725.90461416205</v>
      </c>
      <c r="C130" s="145">
        <f>B130*'Saisie, cash-flow, rendement'!H$16</f>
        <v>1708.8518555660244</v>
      </c>
      <c r="D130" s="14">
        <f t="shared" si="9"/>
        <v>2817.2619408784994</v>
      </c>
      <c r="E130" s="14">
        <f t="shared" si="10"/>
        <v>318617.49452884955</v>
      </c>
      <c r="F130" s="14">
        <f t="shared" si="11"/>
        <v>1108.4100853124983</v>
      </c>
      <c r="H130" s="16"/>
      <c r="I130" s="16"/>
    </row>
    <row r="131" spans="1:9">
      <c r="A131" s="9">
        <v>127</v>
      </c>
      <c r="B131" s="14">
        <f t="shared" si="8"/>
        <v>318617.49452884955</v>
      </c>
      <c r="C131" s="145">
        <f>B131*'Saisie, cash-flow, rendement'!H$16</f>
        <v>1702.9276917629691</v>
      </c>
      <c r="D131" s="14">
        <f t="shared" si="9"/>
        <v>2817.2619408784994</v>
      </c>
      <c r="E131" s="14">
        <f t="shared" si="10"/>
        <v>317503.160279734</v>
      </c>
      <c r="F131" s="14">
        <f t="shared" si="11"/>
        <v>1114.334249115549</v>
      </c>
      <c r="H131" s="16"/>
      <c r="I131" s="16"/>
    </row>
    <row r="132" spans="1:9">
      <c r="A132" s="9">
        <v>128</v>
      </c>
      <c r="B132" s="14">
        <f t="shared" si="8"/>
        <v>317503.160279734</v>
      </c>
      <c r="C132" s="145">
        <f>B132*'Saisie, cash-flow, rendement'!H$16</f>
        <v>1696.9718648442217</v>
      </c>
      <c r="D132" s="14">
        <f t="shared" si="9"/>
        <v>2817.2619408784994</v>
      </c>
      <c r="E132" s="14">
        <f t="shared" si="10"/>
        <v>316382.87020369968</v>
      </c>
      <c r="F132" s="14">
        <f t="shared" si="11"/>
        <v>1120.2900760343182</v>
      </c>
      <c r="H132" s="16"/>
      <c r="I132" s="16"/>
    </row>
    <row r="133" spans="1:9">
      <c r="A133" s="9">
        <v>129</v>
      </c>
      <c r="B133" s="14">
        <f t="shared" si="8"/>
        <v>316382.87020369968</v>
      </c>
      <c r="C133" s="145">
        <f>B133*'Saisie, cash-flow, rendement'!H$16</f>
        <v>1690.9842055786589</v>
      </c>
      <c r="D133" s="14">
        <f t="shared" si="9"/>
        <v>2817.2619408784994</v>
      </c>
      <c r="E133" s="14">
        <f t="shared" si="10"/>
        <v>315256.59246839985</v>
      </c>
      <c r="F133" s="14">
        <f t="shared" si="11"/>
        <v>1126.2777352998382</v>
      </c>
      <c r="H133" s="16"/>
      <c r="I133" s="16"/>
    </row>
    <row r="134" spans="1:9">
      <c r="A134" s="9">
        <v>130</v>
      </c>
      <c r="B134" s="14">
        <f t="shared" si="8"/>
        <v>315256.59246839985</v>
      </c>
      <c r="C134" s="145">
        <f>B134*'Saisie, cash-flow, rendement'!H$16</f>
        <v>1684.9645438306611</v>
      </c>
      <c r="D134" s="14">
        <f t="shared" si="9"/>
        <v>2817.2619408784994</v>
      </c>
      <c r="E134" s="14">
        <f t="shared" si="10"/>
        <v>314124.29507135198</v>
      </c>
      <c r="F134" s="14">
        <f t="shared" si="11"/>
        <v>1132.2973970478633</v>
      </c>
      <c r="H134" s="16"/>
      <c r="I134" s="16"/>
    </row>
    <row r="135" spans="1:9">
      <c r="A135" s="9">
        <v>131</v>
      </c>
      <c r="B135" s="14">
        <f t="shared" si="8"/>
        <v>314124.29507135198</v>
      </c>
      <c r="C135" s="145">
        <f>B135*'Saisie, cash-flow, rendement'!H$16</f>
        <v>1678.912708555278</v>
      </c>
      <c r="D135" s="14">
        <f t="shared" si="9"/>
        <v>2817.2619408784994</v>
      </c>
      <c r="E135" s="14">
        <f t="shared" si="10"/>
        <v>312985.94583902875</v>
      </c>
      <c r="F135" s="14">
        <f t="shared" si="11"/>
        <v>1138.3492323232349</v>
      </c>
      <c r="H135" s="16"/>
      <c r="I135" s="16"/>
    </row>
    <row r="136" spans="1:9">
      <c r="A136" s="18">
        <v>132</v>
      </c>
      <c r="B136" s="19">
        <f t="shared" si="8"/>
        <v>312985.94583902875</v>
      </c>
      <c r="C136" s="145">
        <f>B136*'Saisie, cash-flow, rendement'!H$16</f>
        <v>1672.828527793368</v>
      </c>
      <c r="D136" s="19">
        <f t="shared" si="9"/>
        <v>2817.2619408784994</v>
      </c>
      <c r="E136" s="19">
        <f t="shared" si="10"/>
        <v>311841.51242594357</v>
      </c>
      <c r="F136" s="19">
        <f t="shared" si="11"/>
        <v>1144.4334130851785</v>
      </c>
      <c r="G136" s="18" t="s">
        <v>29</v>
      </c>
      <c r="H136" s="20">
        <f>SUM(C125:C136)</f>
        <v>20468.466656976751</v>
      </c>
      <c r="I136" s="20">
        <f>SUM(F125:F136)</f>
        <v>13338.67663356557</v>
      </c>
    </row>
    <row r="137" spans="1:9">
      <c r="A137" s="9">
        <v>133</v>
      </c>
      <c r="B137" s="14">
        <f t="shared" si="8"/>
        <v>311841.51242594357</v>
      </c>
      <c r="C137" s="145">
        <f>B137*'Saisie, cash-flow, rendement'!H$16</f>
        <v>1666.7118286667132</v>
      </c>
      <c r="D137" s="14">
        <f t="shared" si="9"/>
        <v>2817.2619408784994</v>
      </c>
      <c r="E137" s="14">
        <f t="shared" si="10"/>
        <v>310690.96231373178</v>
      </c>
      <c r="F137" s="14">
        <f t="shared" si="11"/>
        <v>1150.5501122117857</v>
      </c>
      <c r="H137" s="16"/>
      <c r="I137" s="16"/>
    </row>
    <row r="138" spans="1:9">
      <c r="A138" s="9">
        <v>134</v>
      </c>
      <c r="B138" s="14">
        <f t="shared" si="8"/>
        <v>310690.96231373178</v>
      </c>
      <c r="C138" s="145">
        <f>B138*'Saisie, cash-flow, rendement'!H$16</f>
        <v>1660.5624373731066</v>
      </c>
      <c r="D138" s="14">
        <f t="shared" si="9"/>
        <v>2817.2619408784994</v>
      </c>
      <c r="E138" s="14">
        <f t="shared" si="10"/>
        <v>309534.26281022636</v>
      </c>
      <c r="F138" s="14">
        <f t="shared" si="11"/>
        <v>1156.6995035054279</v>
      </c>
      <c r="H138" s="16"/>
      <c r="I138" s="16"/>
    </row>
    <row r="139" spans="1:9">
      <c r="A139" s="9">
        <v>135</v>
      </c>
      <c r="B139" s="14">
        <f t="shared" si="8"/>
        <v>309534.26281022636</v>
      </c>
      <c r="C139" s="145">
        <f>B139*'Saisie, cash-flow, rendement'!H$16</f>
        <v>1654.380179181413</v>
      </c>
      <c r="D139" s="14">
        <f t="shared" si="9"/>
        <v>2817.2619408784994</v>
      </c>
      <c r="E139" s="14">
        <f t="shared" si="10"/>
        <v>308371.38104852923</v>
      </c>
      <c r="F139" s="14">
        <f t="shared" si="11"/>
        <v>1162.881761697121</v>
      </c>
      <c r="H139" s="16"/>
      <c r="I139" s="16"/>
    </row>
    <row r="140" spans="1:9">
      <c r="A140" s="9">
        <v>136</v>
      </c>
      <c r="B140" s="14">
        <f t="shared" si="8"/>
        <v>308371.38104852923</v>
      </c>
      <c r="C140" s="145">
        <f>B140*'Saisie, cash-flow, rendement'!H$16</f>
        <v>1648.1648784266051</v>
      </c>
      <c r="D140" s="14">
        <f t="shared" si="9"/>
        <v>2817.2619408784994</v>
      </c>
      <c r="E140" s="14">
        <f t="shared" si="10"/>
        <v>307202.28398607729</v>
      </c>
      <c r="F140" s="14">
        <f t="shared" si="11"/>
        <v>1169.0970624519396</v>
      </c>
      <c r="H140" s="16"/>
      <c r="I140" s="16"/>
    </row>
    <row r="141" spans="1:9">
      <c r="A141" s="9">
        <v>137</v>
      </c>
      <c r="B141" s="14">
        <f t="shared" si="8"/>
        <v>307202.28398607729</v>
      </c>
      <c r="C141" s="145">
        <f>B141*'Saisie, cash-flow, rendement'!H$16</f>
        <v>1641.9163585047718</v>
      </c>
      <c r="D141" s="14">
        <f t="shared" si="9"/>
        <v>2817.2619408784994</v>
      </c>
      <c r="E141" s="14">
        <f t="shared" si="10"/>
        <v>306026.93840370356</v>
      </c>
      <c r="F141" s="14">
        <f t="shared" si="11"/>
        <v>1175.3455823737313</v>
      </c>
      <c r="H141" s="16"/>
      <c r="I141" s="16"/>
    </row>
    <row r="142" spans="1:9">
      <c r="A142" s="9">
        <v>138</v>
      </c>
      <c r="B142" s="14">
        <f t="shared" si="8"/>
        <v>306026.93840370356</v>
      </c>
      <c r="C142" s="145">
        <f>B142*'Saisie, cash-flow, rendement'!H$16</f>
        <v>1635.6344418680999</v>
      </c>
      <c r="D142" s="14">
        <f t="shared" si="9"/>
        <v>2817.2619408784994</v>
      </c>
      <c r="E142" s="14">
        <f t="shared" si="10"/>
        <v>304845.31090469315</v>
      </c>
      <c r="F142" s="14">
        <f t="shared" si="11"/>
        <v>1181.6274990104139</v>
      </c>
      <c r="H142" s="16"/>
      <c r="I142" s="16"/>
    </row>
    <row r="143" spans="1:9">
      <c r="A143" s="9">
        <v>139</v>
      </c>
      <c r="B143" s="14">
        <f t="shared" si="8"/>
        <v>304845.31090469315</v>
      </c>
      <c r="C143" s="145">
        <f>B143*'Saisie, cash-flow, rendement'!H$16</f>
        <v>1629.3189500198289</v>
      </c>
      <c r="D143" s="14">
        <f t="shared" si="9"/>
        <v>2817.2619408784994</v>
      </c>
      <c r="E143" s="14">
        <f t="shared" si="10"/>
        <v>303657.36791383446</v>
      </c>
      <c r="F143" s="14">
        <f t="shared" si="11"/>
        <v>1187.9429908586899</v>
      </c>
      <c r="H143" s="16"/>
      <c r="I143" s="16"/>
    </row>
    <row r="144" spans="1:9">
      <c r="A144" s="9">
        <v>140</v>
      </c>
      <c r="B144" s="14">
        <f t="shared" si="8"/>
        <v>303657.36791383446</v>
      </c>
      <c r="C144" s="145">
        <f>B144*'Saisie, cash-flow, rendement'!H$16</f>
        <v>1622.9697035091801</v>
      </c>
      <c r="D144" s="14">
        <f t="shared" si="9"/>
        <v>2817.2619408784994</v>
      </c>
      <c r="E144" s="14">
        <f t="shared" si="10"/>
        <v>302463.07567646512</v>
      </c>
      <c r="F144" s="14">
        <f t="shared" si="11"/>
        <v>1194.2922373693436</v>
      </c>
      <c r="H144" s="16"/>
      <c r="I144" s="16"/>
    </row>
    <row r="145" spans="1:9">
      <c r="A145" s="9">
        <v>141</v>
      </c>
      <c r="B145" s="14">
        <f t="shared" si="8"/>
        <v>302463.07567646512</v>
      </c>
      <c r="C145" s="145">
        <f>B145*'Saisie, cash-flow, rendement'!H$16</f>
        <v>1616.5865219262566</v>
      </c>
      <c r="D145" s="14">
        <f t="shared" si="9"/>
        <v>2817.2619408784994</v>
      </c>
      <c r="E145" s="14">
        <f t="shared" si="10"/>
        <v>301262.40025751287</v>
      </c>
      <c r="F145" s="14">
        <f t="shared" si="11"/>
        <v>1200.6754189522471</v>
      </c>
      <c r="H145" s="16"/>
      <c r="I145" s="16"/>
    </row>
    <row r="146" spans="1:9">
      <c r="A146" s="9">
        <v>142</v>
      </c>
      <c r="B146" s="14">
        <f t="shared" si="8"/>
        <v>301262.40025751287</v>
      </c>
      <c r="C146" s="145">
        <f>B146*'Saisie, cash-flow, rendement'!H$16</f>
        <v>1610.1692238969176</v>
      </c>
      <c r="D146" s="14">
        <f t="shared" si="9"/>
        <v>2817.2619408784994</v>
      </c>
      <c r="E146" s="14">
        <f t="shared" si="10"/>
        <v>300055.30754053127</v>
      </c>
      <c r="F146" s="14">
        <f t="shared" si="11"/>
        <v>1207.0927169815986</v>
      </c>
      <c r="H146" s="16"/>
      <c r="I146" s="16"/>
    </row>
    <row r="147" spans="1:9">
      <c r="A147" s="9">
        <v>143</v>
      </c>
      <c r="B147" s="14">
        <f t="shared" si="8"/>
        <v>300055.30754053127</v>
      </c>
      <c r="C147" s="145">
        <f>B147*'Saisie, cash-flow, rendement'!H$16</f>
        <v>1603.7176270776249</v>
      </c>
      <c r="D147" s="14">
        <f t="shared" si="9"/>
        <v>2817.2619408784994</v>
      </c>
      <c r="E147" s="14">
        <f t="shared" si="10"/>
        <v>298841.76322673034</v>
      </c>
      <c r="F147" s="14">
        <f t="shared" si="11"/>
        <v>1213.5443138009286</v>
      </c>
      <c r="H147" s="16"/>
      <c r="I147" s="16"/>
    </row>
    <row r="148" spans="1:9">
      <c r="A148" s="18">
        <v>144</v>
      </c>
      <c r="B148" s="19">
        <f t="shared" si="8"/>
        <v>298841.76322673034</v>
      </c>
      <c r="C148" s="145">
        <f>B148*'Saisie, cash-flow, rendement'!H$16</f>
        <v>1597.2315481502608</v>
      </c>
      <c r="D148" s="19">
        <f t="shared" si="9"/>
        <v>2817.2619408784994</v>
      </c>
      <c r="E148" s="19">
        <f t="shared" si="10"/>
        <v>297621.73283400206</v>
      </c>
      <c r="F148" s="19">
        <f t="shared" si="11"/>
        <v>1220.0303927282803</v>
      </c>
      <c r="G148" s="18" t="s">
        <v>30</v>
      </c>
      <c r="H148" s="20">
        <f>SUM(C137:C148)</f>
        <v>19587.363698600777</v>
      </c>
      <c r="I148" s="20">
        <f>SUM(F137:F148)</f>
        <v>14219.779591941508</v>
      </c>
    </row>
    <row r="149" spans="1:9">
      <c r="A149" s="9">
        <v>145</v>
      </c>
      <c r="B149" s="14">
        <f t="shared" si="8"/>
        <v>297621.73283400206</v>
      </c>
      <c r="C149" s="145">
        <f>B149*'Saisie, cash-flow, rendement'!H$16</f>
        <v>1590.7108028169209</v>
      </c>
      <c r="D149" s="14">
        <f t="shared" si="9"/>
        <v>2817.2619408784994</v>
      </c>
      <c r="E149" s="14">
        <f t="shared" si="10"/>
        <v>296395.18169594044</v>
      </c>
      <c r="F149" s="14">
        <f t="shared" si="11"/>
        <v>1226.5511380616226</v>
      </c>
      <c r="H149" s="16"/>
      <c r="I149" s="16"/>
    </row>
    <row r="150" spans="1:9">
      <c r="A150" s="9">
        <v>146</v>
      </c>
      <c r="B150" s="14">
        <f t="shared" si="8"/>
        <v>296395.18169594044</v>
      </c>
      <c r="C150" s="145">
        <f>B150*'Saisie, cash-flow, rendement'!H$16</f>
        <v>1584.1552057946758</v>
      </c>
      <c r="D150" s="14">
        <f t="shared" si="9"/>
        <v>2817.2619408784994</v>
      </c>
      <c r="E150" s="14">
        <f t="shared" si="10"/>
        <v>295162.07496085658</v>
      </c>
      <c r="F150" s="14">
        <f t="shared" si="11"/>
        <v>1233.1067350838566</v>
      </c>
      <c r="H150" s="16"/>
      <c r="I150" s="16"/>
    </row>
    <row r="151" spans="1:9">
      <c r="A151" s="9">
        <v>147</v>
      </c>
      <c r="B151" s="14">
        <f t="shared" si="8"/>
        <v>295162.07496085658</v>
      </c>
      <c r="C151" s="145">
        <f>B151*'Saisie, cash-flow, rendement'!H$16</f>
        <v>1577.5645708103073</v>
      </c>
      <c r="D151" s="14">
        <f t="shared" si="9"/>
        <v>2817.2619408784994</v>
      </c>
      <c r="E151" s="14">
        <f t="shared" si="10"/>
        <v>293922.37759078835</v>
      </c>
      <c r="F151" s="14">
        <f t="shared" si="11"/>
        <v>1239.6973700682283</v>
      </c>
      <c r="H151" s="16"/>
      <c r="I151" s="16"/>
    </row>
    <row r="152" spans="1:9">
      <c r="A152" s="9">
        <v>148</v>
      </c>
      <c r="B152" s="14">
        <f t="shared" si="8"/>
        <v>293922.37759078835</v>
      </c>
      <c r="C152" s="145">
        <f>B152*'Saisie, cash-flow, rendement'!H$16</f>
        <v>1570.9387105950145</v>
      </c>
      <c r="D152" s="14">
        <f t="shared" si="9"/>
        <v>2817.2619408784994</v>
      </c>
      <c r="E152" s="14">
        <f t="shared" si="10"/>
        <v>292676.05436050484</v>
      </c>
      <c r="F152" s="14">
        <f t="shared" si="11"/>
        <v>1246.3232302835095</v>
      </c>
      <c r="H152" s="16"/>
      <c r="I152" s="16"/>
    </row>
    <row r="153" spans="1:9">
      <c r="A153" s="9">
        <v>149</v>
      </c>
      <c r="B153" s="14">
        <f t="shared" si="8"/>
        <v>292676.05436050484</v>
      </c>
      <c r="C153" s="145">
        <f>B153*'Saisie, cash-flow, rendement'!H$16</f>
        <v>1564.2774368790947</v>
      </c>
      <c r="D153" s="14">
        <f t="shared" si="9"/>
        <v>2817.2619408784994</v>
      </c>
      <c r="E153" s="14">
        <f t="shared" si="10"/>
        <v>291423.06985650543</v>
      </c>
      <c r="F153" s="14">
        <f t="shared" si="11"/>
        <v>1252.9845039994107</v>
      </c>
      <c r="H153" s="16"/>
      <c r="I153" s="16"/>
    </row>
    <row r="154" spans="1:9">
      <c r="A154" s="9">
        <v>150</v>
      </c>
      <c r="B154" s="14">
        <f t="shared" si="8"/>
        <v>291423.06985650543</v>
      </c>
      <c r="C154" s="145">
        <f>B154*'Saisie, cash-flow, rendement'!H$16</f>
        <v>1557.5805603865917</v>
      </c>
      <c r="D154" s="14">
        <f t="shared" si="9"/>
        <v>2817.2619408784994</v>
      </c>
      <c r="E154" s="14">
        <f t="shared" si="10"/>
        <v>290163.3884760135</v>
      </c>
      <c r="F154" s="14">
        <f t="shared" si="11"/>
        <v>1259.6813804919366</v>
      </c>
      <c r="H154" s="16"/>
      <c r="I154" s="16"/>
    </row>
    <row r="155" spans="1:9">
      <c r="A155" s="9">
        <v>151</v>
      </c>
      <c r="B155" s="14">
        <f t="shared" si="8"/>
        <v>290163.3884760135</v>
      </c>
      <c r="C155" s="145">
        <f>B155*'Saisie, cash-flow, rendement'!H$16</f>
        <v>1550.8478908299182</v>
      </c>
      <c r="D155" s="14">
        <f t="shared" si="9"/>
        <v>2817.2619408784994</v>
      </c>
      <c r="E155" s="14">
        <f t="shared" si="10"/>
        <v>288896.97442596487</v>
      </c>
      <c r="F155" s="14">
        <f t="shared" si="11"/>
        <v>1266.4140500486246</v>
      </c>
      <c r="H155" s="16"/>
      <c r="I155" s="16"/>
    </row>
    <row r="156" spans="1:9">
      <c r="A156" s="9">
        <v>152</v>
      </c>
      <c r="B156" s="14">
        <f t="shared" si="8"/>
        <v>288896.97442596487</v>
      </c>
      <c r="C156" s="145">
        <f>B156*'Saisie, cash-flow, rendement'!H$16</f>
        <v>1544.0792369044502</v>
      </c>
      <c r="D156" s="14">
        <f t="shared" si="9"/>
        <v>2817.2619408784994</v>
      </c>
      <c r="E156" s="14">
        <f t="shared" si="10"/>
        <v>287623.7917219908</v>
      </c>
      <c r="F156" s="14">
        <f t="shared" si="11"/>
        <v>1273.1827039740747</v>
      </c>
      <c r="H156" s="16"/>
      <c r="I156" s="16"/>
    </row>
    <row r="157" spans="1:9">
      <c r="A157" s="9">
        <v>153</v>
      </c>
      <c r="B157" s="14">
        <f t="shared" si="8"/>
        <v>287623.7917219908</v>
      </c>
      <c r="C157" s="145">
        <f>B157*'Saisie, cash-flow, rendement'!H$16</f>
        <v>1537.2744062830895</v>
      </c>
      <c r="D157" s="14">
        <f t="shared" si="9"/>
        <v>2817.2619408784994</v>
      </c>
      <c r="E157" s="14">
        <f t="shared" si="10"/>
        <v>286343.80418739538</v>
      </c>
      <c r="F157" s="14">
        <f t="shared" si="11"/>
        <v>1279.9875345954206</v>
      </c>
      <c r="H157" s="16"/>
      <c r="I157" s="16"/>
    </row>
    <row r="158" spans="1:9">
      <c r="A158" s="9">
        <v>154</v>
      </c>
      <c r="B158" s="14">
        <f t="shared" si="8"/>
        <v>286343.80418739538</v>
      </c>
      <c r="C158" s="145">
        <f>B158*'Saisie, cash-flow, rendement'!H$16</f>
        <v>1530.4332056108001</v>
      </c>
      <c r="D158" s="14">
        <f t="shared" si="9"/>
        <v>2817.2619408784994</v>
      </c>
      <c r="E158" s="14">
        <f t="shared" si="10"/>
        <v>285056.97545212763</v>
      </c>
      <c r="F158" s="14">
        <f t="shared" si="11"/>
        <v>1286.8287352677435</v>
      </c>
      <c r="H158" s="16"/>
      <c r="I158" s="16"/>
    </row>
    <row r="159" spans="1:9">
      <c r="A159" s="9">
        <v>155</v>
      </c>
      <c r="B159" s="14">
        <f t="shared" si="8"/>
        <v>285056.97545212763</v>
      </c>
      <c r="C159" s="145">
        <f>B159*'Saisie, cash-flow, rendement'!H$16</f>
        <v>1523.5554404991128</v>
      </c>
      <c r="D159" s="14">
        <f t="shared" si="9"/>
        <v>2817.2619408784994</v>
      </c>
      <c r="E159" s="14">
        <f t="shared" si="10"/>
        <v>283763.26895174821</v>
      </c>
      <c r="F159" s="14">
        <f t="shared" si="11"/>
        <v>1293.7065003794269</v>
      </c>
      <c r="H159" s="16"/>
      <c r="I159" s="16"/>
    </row>
    <row r="160" spans="1:9">
      <c r="A160" s="18">
        <v>156</v>
      </c>
      <c r="B160" s="19">
        <f t="shared" si="8"/>
        <v>283763.26895174821</v>
      </c>
      <c r="C160" s="145">
        <f>B160*'Saisie, cash-flow, rendement'!H$16</f>
        <v>1516.6409155206031</v>
      </c>
      <c r="D160" s="19">
        <f t="shared" si="9"/>
        <v>2817.2619408784994</v>
      </c>
      <c r="E160" s="19">
        <f t="shared" si="10"/>
        <v>282462.64792639029</v>
      </c>
      <c r="F160" s="19">
        <f t="shared" si="11"/>
        <v>1300.6210253579193</v>
      </c>
      <c r="G160" s="18" t="s">
        <v>31</v>
      </c>
      <c r="H160" s="20">
        <f>SUM(C149:C160)</f>
        <v>18648.05838293058</v>
      </c>
      <c r="I160" s="20">
        <f>SUM(F149:F160)</f>
        <v>15159.084907611774</v>
      </c>
    </row>
    <row r="161" spans="1:9">
      <c r="A161" s="9">
        <v>157</v>
      </c>
      <c r="B161" s="14">
        <f t="shared" si="8"/>
        <v>282462.64792639029</v>
      </c>
      <c r="C161" s="145">
        <f>B161*'Saisie, cash-flow, rendement'!H$16</f>
        <v>1509.6894342033379</v>
      </c>
      <c r="D161" s="14">
        <f t="shared" si="9"/>
        <v>2817.2619408784994</v>
      </c>
      <c r="E161" s="14">
        <f t="shared" si="10"/>
        <v>281155.07541971508</v>
      </c>
      <c r="F161" s="14">
        <f t="shared" si="11"/>
        <v>1307.5725066752057</v>
      </c>
      <c r="H161" s="16"/>
      <c r="I161" s="16"/>
    </row>
    <row r="162" spans="1:9">
      <c r="A162" s="9">
        <v>158</v>
      </c>
      <c r="B162" s="14">
        <f t="shared" si="8"/>
        <v>281155.07541971508</v>
      </c>
      <c r="C162" s="145">
        <f>B162*'Saisie, cash-flow, rendement'!H$16</f>
        <v>1502.7007990252921</v>
      </c>
      <c r="D162" s="14">
        <f t="shared" si="9"/>
        <v>2817.2619408784994</v>
      </c>
      <c r="E162" s="14">
        <f t="shared" si="10"/>
        <v>279840.51427786186</v>
      </c>
      <c r="F162" s="14">
        <f t="shared" si="11"/>
        <v>1314.5611418532208</v>
      </c>
      <c r="H162" s="16"/>
      <c r="I162" s="16"/>
    </row>
    <row r="163" spans="1:9">
      <c r="A163" s="9">
        <v>159</v>
      </c>
      <c r="B163" s="14">
        <f t="shared" si="8"/>
        <v>279840.51427786186</v>
      </c>
      <c r="C163" s="145">
        <f>B163*'Saisie, cash-flow, rendement'!H$16</f>
        <v>1495.6748114087375</v>
      </c>
      <c r="D163" s="14">
        <f t="shared" si="9"/>
        <v>2817.2619408784994</v>
      </c>
      <c r="E163" s="14">
        <f t="shared" si="10"/>
        <v>278518.92714839207</v>
      </c>
      <c r="F163" s="14">
        <f t="shared" si="11"/>
        <v>1321.5871294697863</v>
      </c>
      <c r="H163" s="16"/>
      <c r="I163" s="16"/>
    </row>
    <row r="164" spans="1:9">
      <c r="A164" s="9">
        <v>160</v>
      </c>
      <c r="B164" s="14">
        <f t="shared" si="8"/>
        <v>278518.92714839207</v>
      </c>
      <c r="C164" s="145">
        <f>B164*'Saisie, cash-flow, rendement'!H$16</f>
        <v>1488.6112717145984</v>
      </c>
      <c r="D164" s="14">
        <f t="shared" si="9"/>
        <v>2817.2619408784994</v>
      </c>
      <c r="E164" s="14">
        <f t="shared" si="10"/>
        <v>277190.27647922817</v>
      </c>
      <c r="F164" s="14">
        <f t="shared" si="11"/>
        <v>1328.6506691639079</v>
      </c>
      <c r="H164" s="16"/>
      <c r="I164" s="16"/>
    </row>
    <row r="165" spans="1:9">
      <c r="A165" s="9">
        <v>161</v>
      </c>
      <c r="B165" s="14">
        <f t="shared" si="8"/>
        <v>277190.27647922817</v>
      </c>
      <c r="C165" s="145">
        <f>B165*'Saisie, cash-flow, rendement'!H$16</f>
        <v>1481.5099792367814</v>
      </c>
      <c r="D165" s="14">
        <f t="shared" si="9"/>
        <v>2817.2619408784994</v>
      </c>
      <c r="E165" s="14">
        <f t="shared" si="10"/>
        <v>275854.5245175864</v>
      </c>
      <c r="F165" s="14">
        <f t="shared" si="11"/>
        <v>1335.7519616417703</v>
      </c>
      <c r="H165" s="16"/>
      <c r="I165" s="16"/>
    </row>
    <row r="166" spans="1:9">
      <c r="A166" s="9">
        <v>162</v>
      </c>
      <c r="B166" s="14">
        <f t="shared" si="8"/>
        <v>275854.5245175864</v>
      </c>
      <c r="C166" s="145">
        <f>B166*'Saisie, cash-flow, rendement'!H$16</f>
        <v>1474.3707321964703</v>
      </c>
      <c r="D166" s="14">
        <f t="shared" si="9"/>
        <v>2817.2619408784994</v>
      </c>
      <c r="E166" s="14">
        <f t="shared" si="10"/>
        <v>274511.63330890436</v>
      </c>
      <c r="F166" s="14">
        <f t="shared" si="11"/>
        <v>1342.8912086820346</v>
      </c>
      <c r="H166" s="16"/>
      <c r="I166" s="16"/>
    </row>
    <row r="167" spans="1:9">
      <c r="A167" s="9">
        <v>163</v>
      </c>
      <c r="B167" s="14">
        <f t="shared" ref="B167:B230" si="12">E166</f>
        <v>274511.63330890436</v>
      </c>
      <c r="C167" s="145">
        <f>B167*'Saisie, cash-flow, rendement'!H$16</f>
        <v>1467.1933277363939</v>
      </c>
      <c r="D167" s="14">
        <f t="shared" ref="D167:D230" si="13">D166</f>
        <v>2817.2619408784994</v>
      </c>
      <c r="E167" s="14">
        <f t="shared" ref="E167:E230" si="14">B167+C167-D167</f>
        <v>273161.56469576224</v>
      </c>
      <c r="F167" s="14">
        <f t="shared" ref="F167:F230" si="15">B167-E167</f>
        <v>1350.0686131421244</v>
      </c>
      <c r="H167" s="16"/>
      <c r="I167" s="16"/>
    </row>
    <row r="168" spans="1:9">
      <c r="A168" s="9">
        <v>164</v>
      </c>
      <c r="B168" s="14">
        <f t="shared" si="12"/>
        <v>273161.56469576224</v>
      </c>
      <c r="C168" s="145">
        <f>B168*'Saisie, cash-flow, rendement'!H$16</f>
        <v>1459.9775619150619</v>
      </c>
      <c r="D168" s="14">
        <f t="shared" si="13"/>
        <v>2817.2619408784994</v>
      </c>
      <c r="E168" s="14">
        <f t="shared" si="14"/>
        <v>271804.28031679877</v>
      </c>
      <c r="F168" s="14">
        <f t="shared" si="15"/>
        <v>1357.2843789634644</v>
      </c>
      <c r="H168" s="16"/>
      <c r="I168" s="16"/>
    </row>
    <row r="169" spans="1:9">
      <c r="A169" s="9">
        <v>165</v>
      </c>
      <c r="B169" s="14">
        <f t="shared" si="12"/>
        <v>271804.28031679877</v>
      </c>
      <c r="C169" s="145">
        <f>B169*'Saisie, cash-flow, rendement'!H$16</f>
        <v>1452.7232297009689</v>
      </c>
      <c r="D169" s="14">
        <f t="shared" si="13"/>
        <v>2817.2619408784994</v>
      </c>
      <c r="E169" s="14">
        <f t="shared" si="14"/>
        <v>270439.74160562124</v>
      </c>
      <c r="F169" s="14">
        <f t="shared" si="15"/>
        <v>1364.5387111775344</v>
      </c>
      <c r="H169" s="16"/>
      <c r="I169" s="16"/>
    </row>
    <row r="170" spans="1:9">
      <c r="A170" s="9">
        <v>166</v>
      </c>
      <c r="B170" s="14">
        <f t="shared" si="12"/>
        <v>270439.74160562124</v>
      </c>
      <c r="C170" s="145">
        <f>B170*'Saisie, cash-flow, rendement'!H$16</f>
        <v>1445.4301249667706</v>
      </c>
      <c r="D170" s="14">
        <f t="shared" si="13"/>
        <v>2817.2619408784994</v>
      </c>
      <c r="E170" s="14">
        <f t="shared" si="14"/>
        <v>269067.90978970949</v>
      </c>
      <c r="F170" s="14">
        <f t="shared" si="15"/>
        <v>1371.831815911748</v>
      </c>
      <c r="H170" s="16"/>
      <c r="I170" s="16"/>
    </row>
    <row r="171" spans="1:9">
      <c r="A171" s="9">
        <v>167</v>
      </c>
      <c r="B171" s="14">
        <f t="shared" si="12"/>
        <v>269067.90978970949</v>
      </c>
      <c r="C171" s="145">
        <f>B171*'Saisie, cash-flow, rendement'!H$16</f>
        <v>1438.0980404834245</v>
      </c>
      <c r="D171" s="14">
        <f t="shared" si="13"/>
        <v>2817.2619408784994</v>
      </c>
      <c r="E171" s="14">
        <f t="shared" si="14"/>
        <v>267688.74588931439</v>
      </c>
      <c r="F171" s="14">
        <f t="shared" si="15"/>
        <v>1379.1639003950986</v>
      </c>
      <c r="H171" s="16"/>
      <c r="I171" s="16"/>
    </row>
    <row r="172" spans="1:9">
      <c r="A172" s="18">
        <v>168</v>
      </c>
      <c r="B172" s="19">
        <f t="shared" si="12"/>
        <v>267688.74588931439</v>
      </c>
      <c r="C172" s="145">
        <f>B172*'Saisie, cash-flow, rendement'!H$16</f>
        <v>1430.7267679143033</v>
      </c>
      <c r="D172" s="19">
        <f t="shared" si="13"/>
        <v>2817.2619408784994</v>
      </c>
      <c r="E172" s="19">
        <f t="shared" si="14"/>
        <v>266302.21071635018</v>
      </c>
      <c r="F172" s="19">
        <f t="shared" si="15"/>
        <v>1386.5351729642134</v>
      </c>
      <c r="G172" s="18" t="s">
        <v>32</v>
      </c>
      <c r="H172" s="20">
        <f>SUM(C161:C172)</f>
        <v>17646.706080502139</v>
      </c>
      <c r="I172" s="20">
        <f>SUM(F161:F172)</f>
        <v>16160.437210040109</v>
      </c>
    </row>
    <row r="173" spans="1:9">
      <c r="A173" s="9">
        <v>169</v>
      </c>
      <c r="B173" s="14">
        <f t="shared" si="12"/>
        <v>266302.21071635018</v>
      </c>
      <c r="C173" s="145">
        <f>B173*'Saisie, cash-flow, rendement'!H$16</f>
        <v>1423.3160978092744</v>
      </c>
      <c r="D173" s="14">
        <f t="shared" si="13"/>
        <v>2817.2619408784994</v>
      </c>
      <c r="E173" s="14">
        <f t="shared" si="14"/>
        <v>264908.26487328095</v>
      </c>
      <c r="F173" s="14">
        <f t="shared" si="15"/>
        <v>1393.9458430692321</v>
      </c>
      <c r="H173" s="16"/>
      <c r="I173" s="16"/>
    </row>
    <row r="174" spans="1:9">
      <c r="A174" s="9">
        <v>170</v>
      </c>
      <c r="B174" s="14">
        <f t="shared" si="12"/>
        <v>264908.26487328095</v>
      </c>
      <c r="C174" s="145">
        <f>B174*'Saisie, cash-flow, rendement'!H$16</f>
        <v>1415.8658195987491</v>
      </c>
      <c r="D174" s="14">
        <f t="shared" si="13"/>
        <v>2817.2619408784994</v>
      </c>
      <c r="E174" s="14">
        <f t="shared" si="14"/>
        <v>263506.86875200114</v>
      </c>
      <c r="F174" s="14">
        <f t="shared" si="15"/>
        <v>1401.3961212798022</v>
      </c>
      <c r="H174" s="16"/>
      <c r="I174" s="16"/>
    </row>
    <row r="175" spans="1:9">
      <c r="A175" s="9">
        <v>171</v>
      </c>
      <c r="B175" s="14">
        <f t="shared" si="12"/>
        <v>263506.86875200114</v>
      </c>
      <c r="C175" s="145">
        <f>B175*'Saisie, cash-flow, rendement'!H$16</f>
        <v>1408.3757215876981</v>
      </c>
      <c r="D175" s="14">
        <f t="shared" si="13"/>
        <v>2817.2619408784994</v>
      </c>
      <c r="E175" s="14">
        <f t="shared" si="14"/>
        <v>262097.98253271033</v>
      </c>
      <c r="F175" s="14">
        <f t="shared" si="15"/>
        <v>1408.8862192908127</v>
      </c>
      <c r="H175" s="16"/>
      <c r="I175" s="16"/>
    </row>
    <row r="176" spans="1:9">
      <c r="A176" s="9">
        <v>172</v>
      </c>
      <c r="B176" s="14">
        <f t="shared" si="12"/>
        <v>262097.98253271033</v>
      </c>
      <c r="C176" s="145">
        <f>B176*'Saisie, cash-flow, rendement'!H$16</f>
        <v>1400.8455909496383</v>
      </c>
      <c r="D176" s="14">
        <f t="shared" si="13"/>
        <v>2817.2619408784994</v>
      </c>
      <c r="E176" s="14">
        <f t="shared" si="14"/>
        <v>260681.56618278145</v>
      </c>
      <c r="F176" s="14">
        <f t="shared" si="15"/>
        <v>1416.4163499288843</v>
      </c>
      <c r="H176" s="16"/>
      <c r="I176" s="16"/>
    </row>
    <row r="177" spans="1:9">
      <c r="A177" s="9">
        <v>173</v>
      </c>
      <c r="B177" s="14">
        <f t="shared" si="12"/>
        <v>260681.56618278145</v>
      </c>
      <c r="C177" s="145">
        <f>B177*'Saisie, cash-flow, rendement'!H$16</f>
        <v>1393.2752137205835</v>
      </c>
      <c r="D177" s="14">
        <f t="shared" si="13"/>
        <v>2817.2619408784994</v>
      </c>
      <c r="E177" s="14">
        <f t="shared" si="14"/>
        <v>259257.57945562355</v>
      </c>
      <c r="F177" s="14">
        <f t="shared" si="15"/>
        <v>1423.9867271578987</v>
      </c>
      <c r="H177" s="16"/>
      <c r="I177" s="16"/>
    </row>
    <row r="178" spans="1:9">
      <c r="A178" s="9">
        <v>174</v>
      </c>
      <c r="B178" s="14">
        <f t="shared" si="12"/>
        <v>259257.57945562355</v>
      </c>
      <c r="C178" s="145">
        <f>B178*'Saisie, cash-flow, rendement'!H$16</f>
        <v>1385.6643747929659</v>
      </c>
      <c r="D178" s="14">
        <f t="shared" si="13"/>
        <v>2817.2619408784994</v>
      </c>
      <c r="E178" s="14">
        <f t="shared" si="14"/>
        <v>257825.98188953803</v>
      </c>
      <c r="F178" s="14">
        <f t="shared" si="15"/>
        <v>1431.5975660855183</v>
      </c>
      <c r="H178" s="16"/>
      <c r="I178" s="16"/>
    </row>
    <row r="179" spans="1:9">
      <c r="A179" s="9">
        <v>175</v>
      </c>
      <c r="B179" s="14">
        <f t="shared" si="12"/>
        <v>257825.98188953803</v>
      </c>
      <c r="C179" s="145">
        <f>B179*'Saisie, cash-flow, rendement'!H$16</f>
        <v>1378.012857909524</v>
      </c>
      <c r="D179" s="14">
        <f t="shared" si="13"/>
        <v>2817.2619408784994</v>
      </c>
      <c r="E179" s="14">
        <f t="shared" si="14"/>
        <v>256386.73280656905</v>
      </c>
      <c r="F179" s="14">
        <f t="shared" si="15"/>
        <v>1439.2490829689777</v>
      </c>
      <c r="H179" s="16"/>
      <c r="I179" s="16"/>
    </row>
    <row r="180" spans="1:9">
      <c r="A180" s="9">
        <v>176</v>
      </c>
      <c r="B180" s="14">
        <f t="shared" si="12"/>
        <v>256386.73280656905</v>
      </c>
      <c r="C180" s="145">
        <f>B180*'Saisie, cash-flow, rendement'!H$16</f>
        <v>1370.3204456571564</v>
      </c>
      <c r="D180" s="14">
        <f t="shared" si="13"/>
        <v>2817.2619408784994</v>
      </c>
      <c r="E180" s="14">
        <f t="shared" si="14"/>
        <v>254939.79131134771</v>
      </c>
      <c r="F180" s="14">
        <f t="shared" si="15"/>
        <v>1446.941495221341</v>
      </c>
      <c r="H180" s="16"/>
      <c r="I180" s="16"/>
    </row>
    <row r="181" spans="1:9">
      <c r="A181" s="9">
        <v>177</v>
      </c>
      <c r="B181" s="14">
        <f t="shared" si="12"/>
        <v>254939.79131134771</v>
      </c>
      <c r="C181" s="145">
        <f>B181*'Saisie, cash-flow, rendement'!H$16</f>
        <v>1362.5869194607467</v>
      </c>
      <c r="D181" s="14">
        <f t="shared" si="13"/>
        <v>2817.2619408784994</v>
      </c>
      <c r="E181" s="14">
        <f t="shared" si="14"/>
        <v>253485.11628992995</v>
      </c>
      <c r="F181" s="14">
        <f t="shared" si="15"/>
        <v>1454.6750214177591</v>
      </c>
      <c r="H181" s="16"/>
      <c r="I181" s="16"/>
    </row>
    <row r="182" spans="1:9">
      <c r="A182" s="9">
        <v>178</v>
      </c>
      <c r="B182" s="14">
        <f t="shared" si="12"/>
        <v>253485.11628992995</v>
      </c>
      <c r="C182" s="145">
        <f>B182*'Saisie, cash-flow, rendement'!H$16</f>
        <v>1354.8120595769499</v>
      </c>
      <c r="D182" s="14">
        <f t="shared" si="13"/>
        <v>2817.2619408784994</v>
      </c>
      <c r="E182" s="14">
        <f t="shared" si="14"/>
        <v>252022.6664086284</v>
      </c>
      <c r="F182" s="14">
        <f t="shared" si="15"/>
        <v>1462.4498813015525</v>
      </c>
      <c r="H182" s="16"/>
      <c r="I182" s="16"/>
    </row>
    <row r="183" spans="1:9">
      <c r="A183" s="9">
        <v>179</v>
      </c>
      <c r="B183" s="14">
        <f t="shared" si="12"/>
        <v>252022.6664086284</v>
      </c>
      <c r="C183" s="145">
        <f>B183*'Saisie, cash-flow, rendement'!H$16</f>
        <v>1346.9956450879508</v>
      </c>
      <c r="D183" s="14">
        <f t="shared" si="13"/>
        <v>2817.2619408784994</v>
      </c>
      <c r="E183" s="14">
        <f t="shared" si="14"/>
        <v>250552.40011283784</v>
      </c>
      <c r="F183" s="14">
        <f t="shared" si="15"/>
        <v>1470.2662957905559</v>
      </c>
      <c r="H183" s="16"/>
      <c r="I183" s="16"/>
    </row>
    <row r="184" spans="1:9">
      <c r="A184" s="18">
        <v>180</v>
      </c>
      <c r="B184" s="19">
        <f t="shared" si="12"/>
        <v>250552.40011283784</v>
      </c>
      <c r="C184" s="145">
        <f>B184*'Saisie, cash-flow, rendement'!H$16</f>
        <v>1339.1374538951857</v>
      </c>
      <c r="D184" s="19">
        <f t="shared" si="13"/>
        <v>2817.2619408784994</v>
      </c>
      <c r="E184" s="19">
        <f t="shared" si="14"/>
        <v>249074.27562585453</v>
      </c>
      <c r="F184" s="19">
        <f t="shared" si="15"/>
        <v>1478.1244869833172</v>
      </c>
      <c r="G184" s="18" t="s">
        <v>33</v>
      </c>
      <c r="H184" s="20">
        <f>SUM(C173:C184)</f>
        <v>16579.208200046425</v>
      </c>
      <c r="I184" s="20">
        <f>SUM(F173:F184)</f>
        <v>17227.935090495652</v>
      </c>
    </row>
    <row r="185" spans="1:9">
      <c r="A185" s="9">
        <v>181</v>
      </c>
      <c r="B185" s="14">
        <f t="shared" si="12"/>
        <v>249074.27562585453</v>
      </c>
      <c r="C185" s="145">
        <f>B185*'Saisie, cash-flow, rendement'!H$16</f>
        <v>1331.2372627130317</v>
      </c>
      <c r="D185" s="14">
        <f t="shared" si="13"/>
        <v>2817.2619408784994</v>
      </c>
      <c r="E185" s="14">
        <f t="shared" si="14"/>
        <v>247588.25094768906</v>
      </c>
      <c r="F185" s="14">
        <f t="shared" si="15"/>
        <v>1486.0246781654714</v>
      </c>
      <c r="H185" s="16"/>
      <c r="I185" s="16"/>
    </row>
    <row r="186" spans="1:9">
      <c r="A186" s="9">
        <v>182</v>
      </c>
      <c r="B186" s="14">
        <f t="shared" si="12"/>
        <v>247588.25094768906</v>
      </c>
      <c r="C186" s="145">
        <f>B186*'Saisie, cash-flow, rendement'!H$16</f>
        <v>1323.2948470624622</v>
      </c>
      <c r="D186" s="14">
        <f t="shared" si="13"/>
        <v>2817.2619408784994</v>
      </c>
      <c r="E186" s="14">
        <f t="shared" si="14"/>
        <v>246094.28385387303</v>
      </c>
      <c r="F186" s="14">
        <f t="shared" si="15"/>
        <v>1493.967093816027</v>
      </c>
      <c r="H186" s="16"/>
      <c r="I186" s="16"/>
    </row>
    <row r="187" spans="1:9">
      <c r="A187" s="9">
        <v>183</v>
      </c>
      <c r="B187" s="14">
        <f t="shared" si="12"/>
        <v>246094.28385387303</v>
      </c>
      <c r="C187" s="145">
        <f>B187*'Saisie, cash-flow, rendement'!H$16</f>
        <v>1315.309981264669</v>
      </c>
      <c r="D187" s="14">
        <f t="shared" si="13"/>
        <v>2817.2619408784994</v>
      </c>
      <c r="E187" s="14">
        <f t="shared" si="14"/>
        <v>244592.3318942592</v>
      </c>
      <c r="F187" s="14">
        <f t="shared" si="15"/>
        <v>1501.9519596138271</v>
      </c>
      <c r="H187" s="16"/>
      <c r="I187" s="16"/>
    </row>
    <row r="188" spans="1:9">
      <c r="A188" s="9">
        <v>184</v>
      </c>
      <c r="B188" s="14">
        <f t="shared" si="12"/>
        <v>244592.3318942592</v>
      </c>
      <c r="C188" s="145">
        <f>B188*'Saisie, cash-flow, rendement'!H$16</f>
        <v>1307.2824384346488</v>
      </c>
      <c r="D188" s="14">
        <f t="shared" si="13"/>
        <v>2817.2619408784994</v>
      </c>
      <c r="E188" s="14">
        <f t="shared" si="14"/>
        <v>243082.35239181537</v>
      </c>
      <c r="F188" s="14">
        <f t="shared" si="15"/>
        <v>1509.9795024438354</v>
      </c>
      <c r="H188" s="16"/>
      <c r="I188" s="16"/>
    </row>
    <row r="189" spans="1:9">
      <c r="A189" s="9">
        <v>185</v>
      </c>
      <c r="B189" s="14">
        <f t="shared" si="12"/>
        <v>243082.35239181537</v>
      </c>
      <c r="C189" s="145">
        <f>B189*'Saisie, cash-flow, rendement'!H$16</f>
        <v>1299.2119904747574</v>
      </c>
      <c r="D189" s="14">
        <f t="shared" si="13"/>
        <v>2817.2619408784994</v>
      </c>
      <c r="E189" s="14">
        <f t="shared" si="14"/>
        <v>241564.30244141162</v>
      </c>
      <c r="F189" s="14">
        <f t="shared" si="15"/>
        <v>1518.0499504037434</v>
      </c>
      <c r="H189" s="16"/>
      <c r="I189" s="16"/>
    </row>
    <row r="190" spans="1:9">
      <c r="A190" s="9">
        <v>186</v>
      </c>
      <c r="B190" s="14">
        <f t="shared" si="12"/>
        <v>241564.30244141162</v>
      </c>
      <c r="C190" s="145">
        <f>B190*'Saisie, cash-flow, rendement'!H$16</f>
        <v>1291.0984080682274</v>
      </c>
      <c r="D190" s="14">
        <f t="shared" si="13"/>
        <v>2817.2619408784994</v>
      </c>
      <c r="E190" s="14">
        <f t="shared" si="14"/>
        <v>240038.13890860137</v>
      </c>
      <c r="F190" s="14">
        <f t="shared" si="15"/>
        <v>1526.1635328102566</v>
      </c>
      <c r="H190" s="16"/>
      <c r="I190" s="16"/>
    </row>
    <row r="191" spans="1:9">
      <c r="A191" s="9">
        <v>187</v>
      </c>
      <c r="B191" s="14">
        <f t="shared" si="12"/>
        <v>240038.13890860137</v>
      </c>
      <c r="C191" s="145">
        <f>B191*'Saisie, cash-flow, rendement'!H$16</f>
        <v>1282.9414606726536</v>
      </c>
      <c r="D191" s="14">
        <f t="shared" si="13"/>
        <v>2817.2619408784994</v>
      </c>
      <c r="E191" s="14">
        <f t="shared" si="14"/>
        <v>238503.81842839552</v>
      </c>
      <c r="F191" s="14">
        <f t="shared" si="15"/>
        <v>1534.3204802058463</v>
      </c>
      <c r="H191" s="16"/>
      <c r="I191" s="16"/>
    </row>
    <row r="192" spans="1:9">
      <c r="A192" s="9">
        <v>188</v>
      </c>
      <c r="B192" s="14">
        <f t="shared" si="12"/>
        <v>238503.81842839552</v>
      </c>
      <c r="C192" s="145">
        <f>B192*'Saisie, cash-flow, rendement'!H$16</f>
        <v>1274.7409165134407</v>
      </c>
      <c r="D192" s="14">
        <f t="shared" si="13"/>
        <v>2817.2619408784994</v>
      </c>
      <c r="E192" s="14">
        <f t="shared" si="14"/>
        <v>236961.29740403045</v>
      </c>
      <c r="F192" s="14">
        <f t="shared" si="15"/>
        <v>1542.5210243650654</v>
      </c>
      <c r="H192" s="16"/>
      <c r="I192" s="16"/>
    </row>
    <row r="193" spans="1:9">
      <c r="A193" s="9">
        <v>189</v>
      </c>
      <c r="B193" s="14">
        <f t="shared" si="12"/>
        <v>236961.29740403045</v>
      </c>
      <c r="C193" s="145">
        <f>B193*'Saisie, cash-flow, rendement'!H$16</f>
        <v>1266.4965425772191</v>
      </c>
      <c r="D193" s="14">
        <f t="shared" si="13"/>
        <v>2817.2619408784994</v>
      </c>
      <c r="E193" s="14">
        <f t="shared" si="14"/>
        <v>235410.53200572918</v>
      </c>
      <c r="F193" s="14">
        <f t="shared" si="15"/>
        <v>1550.7653983012715</v>
      </c>
      <c r="H193" s="16"/>
      <c r="I193" s="16"/>
    </row>
    <row r="194" spans="1:9">
      <c r="A194" s="9">
        <v>190</v>
      </c>
      <c r="B194" s="14">
        <f t="shared" si="12"/>
        <v>235410.53200572918</v>
      </c>
      <c r="C194" s="145">
        <f>B194*'Saisie, cash-flow, rendement'!H$16</f>
        <v>1258.2081046052235</v>
      </c>
      <c r="D194" s="14">
        <f t="shared" si="13"/>
        <v>2817.2619408784994</v>
      </c>
      <c r="E194" s="14">
        <f t="shared" si="14"/>
        <v>233851.47816945592</v>
      </c>
      <c r="F194" s="14">
        <f t="shared" si="15"/>
        <v>1559.0538362732623</v>
      </c>
      <c r="H194" s="16"/>
      <c r="I194" s="16"/>
    </row>
    <row r="195" spans="1:9">
      <c r="A195" s="9">
        <v>191</v>
      </c>
      <c r="B195" s="14">
        <f t="shared" si="12"/>
        <v>233851.47816945592</v>
      </c>
      <c r="C195" s="145">
        <f>B195*'Saisie, cash-flow, rendement'!H$16</f>
        <v>1249.8753670866356</v>
      </c>
      <c r="D195" s="14">
        <f t="shared" si="13"/>
        <v>2817.2619408784994</v>
      </c>
      <c r="E195" s="14">
        <f t="shared" si="14"/>
        <v>232284.09159566407</v>
      </c>
      <c r="F195" s="14">
        <f t="shared" si="15"/>
        <v>1567.3865737918532</v>
      </c>
      <c r="H195" s="16"/>
      <c r="I195" s="16"/>
    </row>
    <row r="196" spans="1:9">
      <c r="A196" s="18">
        <v>192</v>
      </c>
      <c r="B196" s="19">
        <f t="shared" si="12"/>
        <v>232284.09159566407</v>
      </c>
      <c r="C196" s="145">
        <f>B196*'Saisie, cash-flow, rendement'!H$16</f>
        <v>1241.4980932518934</v>
      </c>
      <c r="D196" s="19">
        <f t="shared" si="13"/>
        <v>2817.2619408784994</v>
      </c>
      <c r="E196" s="19">
        <f t="shared" si="14"/>
        <v>230708.32774803747</v>
      </c>
      <c r="F196" s="19">
        <f t="shared" si="15"/>
        <v>1575.7638476266002</v>
      </c>
      <c r="G196" s="18" t="s">
        <v>34</v>
      </c>
      <c r="H196" s="20">
        <f>SUM(C185:C196)</f>
        <v>15441.195412724863</v>
      </c>
      <c r="I196" s="20">
        <f>SUM(F185:F196)</f>
        <v>18365.94787781706</v>
      </c>
    </row>
    <row r="197" spans="1:9">
      <c r="A197" s="9">
        <v>193</v>
      </c>
      <c r="B197" s="14">
        <f t="shared" si="12"/>
        <v>230708.32774803747</v>
      </c>
      <c r="C197" s="145">
        <f>B197*'Saisie, cash-flow, rendement'!H$16</f>
        <v>1233.0760450659632</v>
      </c>
      <c r="D197" s="14">
        <f t="shared" si="13"/>
        <v>2817.2619408784994</v>
      </c>
      <c r="E197" s="14">
        <f t="shared" si="14"/>
        <v>229124.14185222494</v>
      </c>
      <c r="F197" s="14">
        <f t="shared" si="15"/>
        <v>1584.1858958125231</v>
      </c>
      <c r="H197" s="16"/>
      <c r="I197" s="16"/>
    </row>
    <row r="198" spans="1:9">
      <c r="A198" s="9">
        <v>194</v>
      </c>
      <c r="B198" s="14">
        <f t="shared" si="12"/>
        <v>229124.14185222494</v>
      </c>
      <c r="C198" s="145">
        <f>B198*'Saisie, cash-flow, rendement'!H$16</f>
        <v>1224.608983221576</v>
      </c>
      <c r="D198" s="14">
        <f t="shared" si="13"/>
        <v>2817.2619408784994</v>
      </c>
      <c r="E198" s="14">
        <f t="shared" si="14"/>
        <v>227531.48889456803</v>
      </c>
      <c r="F198" s="14">
        <f t="shared" si="15"/>
        <v>1592.6529576569155</v>
      </c>
      <c r="H198" s="16"/>
      <c r="I198" s="16"/>
    </row>
    <row r="199" spans="1:9">
      <c r="A199" s="9">
        <v>195</v>
      </c>
      <c r="B199" s="14">
        <f t="shared" si="12"/>
        <v>227531.48889456803</v>
      </c>
      <c r="C199" s="145">
        <f>B199*'Saisie, cash-flow, rendement'!H$16</f>
        <v>1216.0966671324275</v>
      </c>
      <c r="D199" s="14">
        <f t="shared" si="13"/>
        <v>2817.2619408784994</v>
      </c>
      <c r="E199" s="14">
        <f t="shared" si="14"/>
        <v>225930.32362082196</v>
      </c>
      <c r="F199" s="14">
        <f t="shared" si="15"/>
        <v>1601.1652737460681</v>
      </c>
      <c r="H199" s="16"/>
      <c r="I199" s="16"/>
    </row>
    <row r="200" spans="1:9">
      <c r="A200" s="9">
        <v>196</v>
      </c>
      <c r="B200" s="14">
        <f t="shared" si="12"/>
        <v>225930.32362082196</v>
      </c>
      <c r="C200" s="145">
        <f>B200*'Saisie, cash-flow, rendement'!H$16</f>
        <v>1207.5388549263416</v>
      </c>
      <c r="D200" s="14">
        <f t="shared" si="13"/>
        <v>2817.2619408784994</v>
      </c>
      <c r="E200" s="14">
        <f t="shared" si="14"/>
        <v>224320.60053486979</v>
      </c>
      <c r="F200" s="14">
        <f t="shared" si="15"/>
        <v>1609.723085952166</v>
      </c>
      <c r="H200" s="16"/>
      <c r="I200" s="16"/>
    </row>
    <row r="201" spans="1:9">
      <c r="A201" s="9">
        <v>197</v>
      </c>
      <c r="B201" s="14">
        <f t="shared" si="12"/>
        <v>224320.60053486979</v>
      </c>
      <c r="C201" s="145">
        <f>B201*'Saisie, cash-flow, rendement'!H$16</f>
        <v>1198.9353034383996</v>
      </c>
      <c r="D201" s="14">
        <f t="shared" si="13"/>
        <v>2817.2619408784994</v>
      </c>
      <c r="E201" s="14">
        <f t="shared" si="14"/>
        <v>222702.2738974297</v>
      </c>
      <c r="F201" s="14">
        <f t="shared" si="15"/>
        <v>1618.3266374400991</v>
      </c>
      <c r="H201" s="16"/>
      <c r="I201" s="16"/>
    </row>
    <row r="202" spans="1:9">
      <c r="A202" s="9">
        <v>198</v>
      </c>
      <c r="B202" s="14">
        <f t="shared" si="12"/>
        <v>222702.2738974297</v>
      </c>
      <c r="C202" s="145">
        <f>B202*'Saisie, cash-flow, rendement'!H$16</f>
        <v>1190.2857682040283</v>
      </c>
      <c r="D202" s="14">
        <f t="shared" si="13"/>
        <v>2817.2619408784994</v>
      </c>
      <c r="E202" s="14">
        <f t="shared" si="14"/>
        <v>221075.29772475522</v>
      </c>
      <c r="F202" s="14">
        <f t="shared" si="15"/>
        <v>1626.9761726744764</v>
      </c>
      <c r="H202" s="16"/>
      <c r="I202" s="16"/>
    </row>
    <row r="203" spans="1:9">
      <c r="A203" s="9">
        <v>199</v>
      </c>
      <c r="B203" s="14">
        <f t="shared" si="12"/>
        <v>221075.29772475522</v>
      </c>
      <c r="C203" s="145">
        <f>B203*'Saisie, cash-flow, rendement'!H$16</f>
        <v>1181.5900034520553</v>
      </c>
      <c r="D203" s="14">
        <f t="shared" si="13"/>
        <v>2817.2619408784994</v>
      </c>
      <c r="E203" s="14">
        <f t="shared" si="14"/>
        <v>219439.62578732878</v>
      </c>
      <c r="F203" s="14">
        <f t="shared" si="15"/>
        <v>1635.6719374264358</v>
      </c>
      <c r="H203" s="16"/>
      <c r="I203" s="16"/>
    </row>
    <row r="204" spans="1:9">
      <c r="A204" s="9">
        <v>200</v>
      </c>
      <c r="B204" s="14">
        <f t="shared" si="12"/>
        <v>219439.62578732878</v>
      </c>
      <c r="C204" s="145">
        <f>B204*'Saisie, cash-flow, rendement'!H$16</f>
        <v>1172.8477620977255</v>
      </c>
      <c r="D204" s="14">
        <f t="shared" si="13"/>
        <v>2817.2619408784994</v>
      </c>
      <c r="E204" s="14">
        <f t="shared" si="14"/>
        <v>217795.21160854801</v>
      </c>
      <c r="F204" s="14">
        <f t="shared" si="15"/>
        <v>1644.4141787807748</v>
      </c>
      <c r="H204" s="16"/>
      <c r="I204" s="16"/>
    </row>
    <row r="205" spans="1:9">
      <c r="A205" s="9">
        <v>201</v>
      </c>
      <c r="B205" s="14">
        <f t="shared" si="12"/>
        <v>217795.21160854801</v>
      </c>
      <c r="C205" s="145">
        <f>B205*'Saisie, cash-flow, rendement'!H$16</f>
        <v>1164.0587957356795</v>
      </c>
      <c r="D205" s="14">
        <f t="shared" si="13"/>
        <v>2817.2619408784994</v>
      </c>
      <c r="E205" s="14">
        <f t="shared" si="14"/>
        <v>216142.00846340519</v>
      </c>
      <c r="F205" s="14">
        <f t="shared" si="15"/>
        <v>1653.2031451428193</v>
      </c>
      <c r="H205" s="16"/>
      <c r="I205" s="16"/>
    </row>
    <row r="206" spans="1:9">
      <c r="A206" s="9">
        <v>202</v>
      </c>
      <c r="B206" s="14">
        <f t="shared" si="12"/>
        <v>216142.00846340519</v>
      </c>
      <c r="C206" s="145">
        <f>B206*'Saisie, cash-flow, rendement'!H$16</f>
        <v>1155.2228546328961</v>
      </c>
      <c r="D206" s="14">
        <f t="shared" si="13"/>
        <v>2817.2619408784994</v>
      </c>
      <c r="E206" s="14">
        <f t="shared" si="14"/>
        <v>214479.96937715958</v>
      </c>
      <c r="F206" s="14">
        <f t="shared" si="15"/>
        <v>1662.0390862456115</v>
      </c>
      <c r="H206" s="16"/>
      <c r="I206" s="16"/>
    </row>
    <row r="207" spans="1:9">
      <c r="A207" s="9">
        <v>203</v>
      </c>
      <c r="B207" s="14">
        <f t="shared" si="12"/>
        <v>214479.96937715958</v>
      </c>
      <c r="C207" s="145">
        <f>B207*'Saisie, cash-flow, rendement'!H$16</f>
        <v>1146.3396877215957</v>
      </c>
      <c r="D207" s="14">
        <f t="shared" si="13"/>
        <v>2817.2619408784994</v>
      </c>
      <c r="E207" s="14">
        <f t="shared" si="14"/>
        <v>212809.04712400268</v>
      </c>
      <c r="F207" s="14">
        <f t="shared" si="15"/>
        <v>1670.9222531568957</v>
      </c>
      <c r="H207" s="16"/>
      <c r="I207" s="16"/>
    </row>
    <row r="208" spans="1:9">
      <c r="A208" s="18">
        <v>204</v>
      </c>
      <c r="B208" s="19">
        <f t="shared" si="12"/>
        <v>212809.04712400268</v>
      </c>
      <c r="C208" s="145">
        <f>B208*'Saisie, cash-flow, rendement'!H$16</f>
        <v>1137.4090425921074</v>
      </c>
      <c r="D208" s="19">
        <f t="shared" si="13"/>
        <v>2817.2619408784994</v>
      </c>
      <c r="E208" s="19">
        <f t="shared" si="14"/>
        <v>211129.19422571629</v>
      </c>
      <c r="F208" s="19">
        <f t="shared" si="15"/>
        <v>1679.8528982863936</v>
      </c>
      <c r="G208" s="18" t="s">
        <v>35</v>
      </c>
      <c r="H208" s="20">
        <f>SUM(C197:C208)</f>
        <v>14228.009768220798</v>
      </c>
      <c r="I208" s="20">
        <f>SUM(F197:F208)</f>
        <v>19579.133522321179</v>
      </c>
    </row>
    <row r="209" spans="1:9">
      <c r="A209" s="9">
        <v>205</v>
      </c>
      <c r="B209" s="14">
        <f t="shared" si="12"/>
        <v>211129.19422571629</v>
      </c>
      <c r="C209" s="145">
        <f>B209*'Saisie, cash-flow, rendement'!H$16</f>
        <v>1128.4306654856955</v>
      </c>
      <c r="D209" s="14">
        <f t="shared" si="13"/>
        <v>2817.2619408784994</v>
      </c>
      <c r="E209" s="14">
        <f t="shared" si="14"/>
        <v>209440.3629503235</v>
      </c>
      <c r="F209" s="14">
        <f t="shared" si="15"/>
        <v>1688.8312753927894</v>
      </c>
      <c r="H209" s="16"/>
      <c r="I209" s="16"/>
    </row>
    <row r="210" spans="1:9">
      <c r="A210" s="9">
        <v>206</v>
      </c>
      <c r="B210" s="14">
        <f t="shared" si="12"/>
        <v>209440.3629503235</v>
      </c>
      <c r="C210" s="145">
        <f>B210*'Saisie, cash-flow, rendement'!H$16</f>
        <v>1119.4043012873499</v>
      </c>
      <c r="D210" s="14">
        <f t="shared" si="13"/>
        <v>2817.2619408784994</v>
      </c>
      <c r="E210" s="14">
        <f t="shared" si="14"/>
        <v>207742.50531073235</v>
      </c>
      <c r="F210" s="14">
        <f t="shared" si="15"/>
        <v>1697.8576395911514</v>
      </c>
      <c r="H210" s="16"/>
      <c r="I210" s="16"/>
    </row>
    <row r="211" spans="1:9">
      <c r="A211" s="9">
        <v>207</v>
      </c>
      <c r="B211" s="14">
        <f t="shared" si="12"/>
        <v>207742.50531073235</v>
      </c>
      <c r="C211" s="145">
        <f>B211*'Saisie, cash-flow, rendement'!H$16</f>
        <v>1110.3296935185374</v>
      </c>
      <c r="D211" s="14">
        <f t="shared" si="13"/>
        <v>2817.2619408784994</v>
      </c>
      <c r="E211" s="14">
        <f t="shared" si="14"/>
        <v>206035.5730633724</v>
      </c>
      <c r="F211" s="14">
        <f t="shared" si="15"/>
        <v>1706.9322473599459</v>
      </c>
      <c r="H211" s="16"/>
      <c r="I211" s="16"/>
    </row>
    <row r="212" spans="1:9">
      <c r="A212" s="9">
        <v>208</v>
      </c>
      <c r="B212" s="14">
        <f t="shared" si="12"/>
        <v>206035.5730633724</v>
      </c>
      <c r="C212" s="145">
        <f>B212*'Saisie, cash-flow, rendement'!H$16</f>
        <v>1101.2065843299135</v>
      </c>
      <c r="D212" s="14">
        <f t="shared" si="13"/>
        <v>2817.2619408784994</v>
      </c>
      <c r="E212" s="14">
        <f t="shared" si="14"/>
        <v>204319.51770682383</v>
      </c>
      <c r="F212" s="14">
        <f t="shared" si="15"/>
        <v>1716.0553565485752</v>
      </c>
      <c r="H212" s="16"/>
      <c r="I212" s="16"/>
    </row>
    <row r="213" spans="1:9">
      <c r="A213" s="9">
        <v>209</v>
      </c>
      <c r="B213" s="14">
        <f t="shared" si="12"/>
        <v>204319.51770682383</v>
      </c>
      <c r="C213" s="145">
        <f>B213*'Saisie, cash-flow, rendement'!H$16</f>
        <v>1092.034714493996</v>
      </c>
      <c r="D213" s="14">
        <f t="shared" si="13"/>
        <v>2817.2619408784994</v>
      </c>
      <c r="E213" s="14">
        <f t="shared" si="14"/>
        <v>202594.29048043932</v>
      </c>
      <c r="F213" s="14">
        <f t="shared" si="15"/>
        <v>1725.227226384508</v>
      </c>
      <c r="H213" s="16"/>
      <c r="I213" s="16"/>
    </row>
    <row r="214" spans="1:9">
      <c r="A214" s="9">
        <v>210</v>
      </c>
      <c r="B214" s="14">
        <f t="shared" si="12"/>
        <v>202594.29048043932</v>
      </c>
      <c r="C214" s="145">
        <f>B214*'Saisie, cash-flow, rendement'!H$16</f>
        <v>1082.8138233977993</v>
      </c>
      <c r="D214" s="14">
        <f t="shared" si="13"/>
        <v>2817.2619408784994</v>
      </c>
      <c r="E214" s="14">
        <f t="shared" si="14"/>
        <v>200859.84236295862</v>
      </c>
      <c r="F214" s="14">
        <f t="shared" si="15"/>
        <v>1734.4481174807006</v>
      </c>
      <c r="H214" s="16"/>
      <c r="I214" s="16"/>
    </row>
    <row r="215" spans="1:9">
      <c r="A215" s="9">
        <v>211</v>
      </c>
      <c r="B215" s="14">
        <f t="shared" si="12"/>
        <v>200859.84236295862</v>
      </c>
      <c r="C215" s="145">
        <f>B215*'Saisie, cash-flow, rendement'!H$16</f>
        <v>1073.5436490354289</v>
      </c>
      <c r="D215" s="14">
        <f t="shared" si="13"/>
        <v>2817.2619408784994</v>
      </c>
      <c r="E215" s="14">
        <f t="shared" si="14"/>
        <v>199116.12407111554</v>
      </c>
      <c r="F215" s="14">
        <f t="shared" si="15"/>
        <v>1743.7182918430772</v>
      </c>
      <c r="H215" s="16"/>
      <c r="I215" s="16"/>
    </row>
    <row r="216" spans="1:9">
      <c r="A216" s="9">
        <v>212</v>
      </c>
      <c r="B216" s="14">
        <f t="shared" si="12"/>
        <v>199116.12407111554</v>
      </c>
      <c r="C216" s="145">
        <f>B216*'Saisie, cash-flow, rendement'!H$16</f>
        <v>1064.223928000637</v>
      </c>
      <c r="D216" s="14">
        <f t="shared" si="13"/>
        <v>2817.2619408784994</v>
      </c>
      <c r="E216" s="14">
        <f t="shared" si="14"/>
        <v>197363.08605823768</v>
      </c>
      <c r="F216" s="14">
        <f t="shared" si="15"/>
        <v>1753.0380128778634</v>
      </c>
      <c r="H216" s="16"/>
      <c r="I216" s="16"/>
    </row>
    <row r="217" spans="1:9">
      <c r="A217" s="9">
        <v>213</v>
      </c>
      <c r="B217" s="14">
        <f t="shared" si="12"/>
        <v>197363.08605823768</v>
      </c>
      <c r="C217" s="145">
        <f>B217*'Saisie, cash-flow, rendement'!H$16</f>
        <v>1054.8543954793381</v>
      </c>
      <c r="D217" s="14">
        <f t="shared" si="13"/>
        <v>2817.2619408784994</v>
      </c>
      <c r="E217" s="14">
        <f t="shared" si="14"/>
        <v>195600.67851283852</v>
      </c>
      <c r="F217" s="14">
        <f t="shared" si="15"/>
        <v>1762.4075453991536</v>
      </c>
      <c r="H217" s="16"/>
      <c r="I217" s="16"/>
    </row>
    <row r="218" spans="1:9">
      <c r="A218" s="9">
        <v>214</v>
      </c>
      <c r="B218" s="14">
        <f t="shared" si="12"/>
        <v>195600.67851283852</v>
      </c>
      <c r="C218" s="145">
        <f>B218*'Saisie, cash-flow, rendement'!H$16</f>
        <v>1045.434785242084</v>
      </c>
      <c r="D218" s="14">
        <f t="shared" si="13"/>
        <v>2817.2619408784994</v>
      </c>
      <c r="E218" s="14">
        <f t="shared" si="14"/>
        <v>193828.8513572021</v>
      </c>
      <c r="F218" s="14">
        <f t="shared" si="15"/>
        <v>1771.8271556364198</v>
      </c>
      <c r="H218" s="16"/>
      <c r="I218" s="16"/>
    </row>
    <row r="219" spans="1:9">
      <c r="A219" s="9">
        <v>215</v>
      </c>
      <c r="B219" s="14">
        <f t="shared" si="12"/>
        <v>193828.8513572021</v>
      </c>
      <c r="C219" s="145">
        <f>B219*'Saisie, cash-flow, rendement'!H$16</f>
        <v>1035.9648296364992</v>
      </c>
      <c r="D219" s="14">
        <f t="shared" si="13"/>
        <v>2817.2619408784994</v>
      </c>
      <c r="E219" s="14">
        <f t="shared" si="14"/>
        <v>192047.55424596011</v>
      </c>
      <c r="F219" s="14">
        <f t="shared" si="15"/>
        <v>1781.2971112419909</v>
      </c>
      <c r="H219" s="16"/>
      <c r="I219" s="16"/>
    </row>
    <row r="220" spans="1:9">
      <c r="A220" s="18">
        <v>216</v>
      </c>
      <c r="B220" s="19">
        <f t="shared" si="12"/>
        <v>192047.55424596011</v>
      </c>
      <c r="C220" s="145">
        <f>B220*'Saisie, cash-flow, rendement'!H$16</f>
        <v>1026.4442595796759</v>
      </c>
      <c r="D220" s="19">
        <f t="shared" si="13"/>
        <v>2817.2619408784994</v>
      </c>
      <c r="E220" s="19">
        <f t="shared" si="14"/>
        <v>190256.73656466129</v>
      </c>
      <c r="F220" s="19">
        <f t="shared" si="15"/>
        <v>1790.817681298824</v>
      </c>
      <c r="G220" s="18" t="s">
        <v>36</v>
      </c>
      <c r="H220" s="20">
        <f>SUM(C209:C220)</f>
        <v>12934.685629486954</v>
      </c>
      <c r="I220" s="20">
        <f>SUM(F209:F220)</f>
        <v>20872.457661054999</v>
      </c>
    </row>
    <row r="221" spans="1:9">
      <c r="A221" s="9">
        <v>217</v>
      </c>
      <c r="B221" s="14">
        <f t="shared" si="12"/>
        <v>190256.73656466129</v>
      </c>
      <c r="C221" s="145">
        <f>B221*'Saisie, cash-flow, rendement'!H$16</f>
        <v>1016.8728045505285</v>
      </c>
      <c r="D221" s="14">
        <f t="shared" si="13"/>
        <v>2817.2619408784994</v>
      </c>
      <c r="E221" s="14">
        <f t="shared" si="14"/>
        <v>188456.34742833333</v>
      </c>
      <c r="F221" s="14">
        <f t="shared" si="15"/>
        <v>1800.3891363279545</v>
      </c>
      <c r="H221" s="16"/>
      <c r="I221" s="16"/>
    </row>
    <row r="222" spans="1:9">
      <c r="A222" s="9">
        <v>218</v>
      </c>
      <c r="B222" s="14">
        <f t="shared" si="12"/>
        <v>188456.34742833333</v>
      </c>
      <c r="C222" s="145">
        <f>B222*'Saisie, cash-flow, rendement'!H$16</f>
        <v>1007.250192582106</v>
      </c>
      <c r="D222" s="14">
        <f t="shared" si="13"/>
        <v>2817.2619408784994</v>
      </c>
      <c r="E222" s="14">
        <f t="shared" si="14"/>
        <v>186646.33568003695</v>
      </c>
      <c r="F222" s="14">
        <f t="shared" si="15"/>
        <v>1810.0117482963833</v>
      </c>
      <c r="H222" s="16"/>
      <c r="I222" s="16"/>
    </row>
    <row r="223" spans="1:9">
      <c r="A223" s="9">
        <v>219</v>
      </c>
      <c r="B223" s="14">
        <f t="shared" si="12"/>
        <v>186646.33568003695</v>
      </c>
      <c r="C223" s="145">
        <f>B223*'Saisie, cash-flow, rendement'!H$16</f>
        <v>997.57615025386497</v>
      </c>
      <c r="D223" s="14">
        <f t="shared" si="13"/>
        <v>2817.2619408784994</v>
      </c>
      <c r="E223" s="14">
        <f t="shared" si="14"/>
        <v>184826.64988941231</v>
      </c>
      <c r="F223" s="14">
        <f t="shared" si="15"/>
        <v>1819.6857906246441</v>
      </c>
      <c r="H223" s="16"/>
      <c r="I223" s="16"/>
    </row>
    <row r="224" spans="1:9">
      <c r="A224" s="9">
        <v>220</v>
      </c>
      <c r="B224" s="14">
        <f t="shared" si="12"/>
        <v>184826.64988941231</v>
      </c>
      <c r="C224" s="145">
        <f>B224*'Saisie, cash-flow, rendement'!H$16</f>
        <v>987.85040268389992</v>
      </c>
      <c r="D224" s="14">
        <f t="shared" si="13"/>
        <v>2817.2619408784994</v>
      </c>
      <c r="E224" s="14">
        <f t="shared" si="14"/>
        <v>182997.2383512177</v>
      </c>
      <c r="F224" s="14">
        <f t="shared" si="15"/>
        <v>1829.4115381946031</v>
      </c>
      <c r="H224" s="16"/>
      <c r="I224" s="16"/>
    </row>
    <row r="225" spans="1:9">
      <c r="A225" s="9">
        <v>221</v>
      </c>
      <c r="B225" s="14">
        <f t="shared" si="12"/>
        <v>182997.2383512177</v>
      </c>
      <c r="C225" s="145">
        <f>B225*'Saisie, cash-flow, rendement'!H$16</f>
        <v>978.07267352113365</v>
      </c>
      <c r="D225" s="14">
        <f t="shared" si="13"/>
        <v>2817.2619408784994</v>
      </c>
      <c r="E225" s="14">
        <f t="shared" si="14"/>
        <v>181158.04908386033</v>
      </c>
      <c r="F225" s="14">
        <f t="shared" si="15"/>
        <v>1839.1892673573748</v>
      </c>
      <c r="H225" s="16"/>
      <c r="I225" s="16"/>
    </row>
    <row r="226" spans="1:9">
      <c r="A226" s="9">
        <v>222</v>
      </c>
      <c r="B226" s="14">
        <f t="shared" si="12"/>
        <v>181158.04908386033</v>
      </c>
      <c r="C226" s="145">
        <f>B226*'Saisie, cash-flow, rendement'!H$16</f>
        <v>968.24268493746365</v>
      </c>
      <c r="D226" s="14">
        <f t="shared" si="13"/>
        <v>2817.2619408784994</v>
      </c>
      <c r="E226" s="14">
        <f t="shared" si="14"/>
        <v>179309.02982791929</v>
      </c>
      <c r="F226" s="14">
        <f t="shared" si="15"/>
        <v>1849.0192559410352</v>
      </c>
      <c r="H226" s="16"/>
      <c r="I226" s="16"/>
    </row>
    <row r="227" spans="1:9">
      <c r="A227" s="9">
        <v>223</v>
      </c>
      <c r="B227" s="14">
        <f t="shared" si="12"/>
        <v>179309.02982791929</v>
      </c>
      <c r="C227" s="145">
        <f>B227*'Saisie, cash-flow, rendement'!H$16</f>
        <v>958.36015761986891</v>
      </c>
      <c r="D227" s="14">
        <f t="shared" si="13"/>
        <v>2817.2619408784994</v>
      </c>
      <c r="E227" s="14">
        <f t="shared" si="14"/>
        <v>177450.12804466067</v>
      </c>
      <c r="F227" s="14">
        <f t="shared" si="15"/>
        <v>1858.9017832586251</v>
      </c>
      <c r="H227" s="16"/>
      <c r="I227" s="16"/>
    </row>
    <row r="228" spans="1:9">
      <c r="A228" s="9">
        <v>224</v>
      </c>
      <c r="B228" s="14">
        <f t="shared" si="12"/>
        <v>177450.12804466067</v>
      </c>
      <c r="C228" s="145">
        <f>B228*'Saisie, cash-flow, rendement'!H$16</f>
        <v>948.42481076247259</v>
      </c>
      <c r="D228" s="14">
        <f t="shared" si="13"/>
        <v>2817.2619408784994</v>
      </c>
      <c r="E228" s="14">
        <f t="shared" si="14"/>
        <v>175581.29091454463</v>
      </c>
      <c r="F228" s="14">
        <f t="shared" si="15"/>
        <v>1868.8371301160369</v>
      </c>
      <c r="H228" s="16"/>
      <c r="I228" s="16"/>
    </row>
    <row r="229" spans="1:9">
      <c r="A229" s="9">
        <v>225</v>
      </c>
      <c r="B229" s="14">
        <f t="shared" si="12"/>
        <v>175581.29091454463</v>
      </c>
      <c r="C229" s="145">
        <f>B229*'Saisie, cash-flow, rendement'!H$16</f>
        <v>938.43636205856353</v>
      </c>
      <c r="D229" s="14">
        <f t="shared" si="13"/>
        <v>2817.2619408784994</v>
      </c>
      <c r="E229" s="14">
        <f t="shared" si="14"/>
        <v>173702.4653357247</v>
      </c>
      <c r="F229" s="14">
        <f t="shared" si="15"/>
        <v>1878.8255788199313</v>
      </c>
      <c r="H229" s="16"/>
      <c r="I229" s="16"/>
    </row>
    <row r="230" spans="1:9">
      <c r="A230" s="9">
        <v>226</v>
      </c>
      <c r="B230" s="14">
        <f t="shared" si="12"/>
        <v>173702.4653357247</v>
      </c>
      <c r="C230" s="145">
        <f>B230*'Saisie, cash-flow, rendement'!H$16</f>
        <v>928.3945276925748</v>
      </c>
      <c r="D230" s="14">
        <f t="shared" si="13"/>
        <v>2817.2619408784994</v>
      </c>
      <c r="E230" s="14">
        <f t="shared" si="14"/>
        <v>171813.59792253879</v>
      </c>
      <c r="F230" s="14">
        <f t="shared" si="15"/>
        <v>1888.8674131859152</v>
      </c>
      <c r="H230" s="16"/>
      <c r="I230" s="16"/>
    </row>
    <row r="231" spans="1:9">
      <c r="A231" s="9">
        <v>227</v>
      </c>
      <c r="B231" s="14">
        <f t="shared" ref="B231:B294" si="16">E230</f>
        <v>171813.59792253879</v>
      </c>
      <c r="C231" s="145">
        <f>B231*'Saisie, cash-flow, rendement'!H$16</f>
        <v>918.29902233201858</v>
      </c>
      <c r="D231" s="14">
        <f t="shared" ref="D231:D294" si="17">D230</f>
        <v>2817.2619408784994</v>
      </c>
      <c r="E231" s="14">
        <f t="shared" ref="E231:E294" si="18">B231+C231-D231</f>
        <v>169914.6350039923</v>
      </c>
      <c r="F231" s="14">
        <f t="shared" ref="F231:F294" si="19">B231-E231</f>
        <v>1898.9629185464873</v>
      </c>
      <c r="H231" s="16"/>
      <c r="I231" s="16"/>
    </row>
    <row r="232" spans="1:9">
      <c r="A232" s="18">
        <v>228</v>
      </c>
      <c r="B232" s="19">
        <f t="shared" si="16"/>
        <v>169914.6350039923</v>
      </c>
      <c r="C232" s="145">
        <f>B232*'Saisie, cash-flow, rendement'!H$16</f>
        <v>908.14955911937932</v>
      </c>
      <c r="D232" s="19">
        <f t="shared" si="17"/>
        <v>2817.2619408784994</v>
      </c>
      <c r="E232" s="19">
        <f t="shared" si="18"/>
        <v>168005.52262223317</v>
      </c>
      <c r="F232" s="19">
        <f t="shared" si="19"/>
        <v>1909.1123817591288</v>
      </c>
      <c r="G232" s="18" t="s">
        <v>37</v>
      </c>
      <c r="H232" s="20">
        <f>SUM(C221:C232)</f>
        <v>11555.929348113876</v>
      </c>
      <c r="I232" s="20">
        <f>SUM(F221:F232)</f>
        <v>22251.213942428119</v>
      </c>
    </row>
    <row r="233" spans="1:9">
      <c r="A233" s="9">
        <v>229</v>
      </c>
      <c r="B233" s="14">
        <f t="shared" si="16"/>
        <v>168005.52262223317</v>
      </c>
      <c r="C233" s="145">
        <f>B233*'Saisie, cash-flow, rendement'!H$16</f>
        <v>897.94584966396269</v>
      </c>
      <c r="D233" s="14">
        <f t="shared" si="17"/>
        <v>2817.2619408784994</v>
      </c>
      <c r="E233" s="14">
        <f t="shared" si="18"/>
        <v>166086.20653101863</v>
      </c>
      <c r="F233" s="14">
        <f t="shared" si="19"/>
        <v>1919.3160912145395</v>
      </c>
      <c r="H233" s="16"/>
      <c r="I233" s="16"/>
    </row>
    <row r="234" spans="1:9">
      <c r="A234" s="9">
        <v>230</v>
      </c>
      <c r="B234" s="14">
        <f t="shared" si="16"/>
        <v>166086.20653101863</v>
      </c>
      <c r="C234" s="145">
        <f>B234*'Saisie, cash-flow, rendement'!H$16</f>
        <v>887.68760403370106</v>
      </c>
      <c r="D234" s="14">
        <f t="shared" si="17"/>
        <v>2817.2619408784994</v>
      </c>
      <c r="E234" s="14">
        <f t="shared" si="18"/>
        <v>164156.63219417384</v>
      </c>
      <c r="F234" s="14">
        <f t="shared" si="19"/>
        <v>1929.5743368447875</v>
      </c>
      <c r="H234" s="16"/>
      <c r="I234" s="16"/>
    </row>
    <row r="235" spans="1:9">
      <c r="A235" s="9">
        <v>231</v>
      </c>
      <c r="B235" s="14">
        <f t="shared" si="16"/>
        <v>164156.63219417384</v>
      </c>
      <c r="C235" s="145">
        <f>B235*'Saisie, cash-flow, rendement'!H$16</f>
        <v>877.37453074691507</v>
      </c>
      <c r="D235" s="14">
        <f t="shared" si="17"/>
        <v>2817.2619408784994</v>
      </c>
      <c r="E235" s="14">
        <f t="shared" si="18"/>
        <v>162216.74478404227</v>
      </c>
      <c r="F235" s="14">
        <f t="shared" si="19"/>
        <v>1939.8874101315741</v>
      </c>
      <c r="H235" s="16"/>
      <c r="I235" s="16"/>
    </row>
    <row r="236" spans="1:9">
      <c r="A236" s="9">
        <v>232</v>
      </c>
      <c r="B236" s="14">
        <f t="shared" si="16"/>
        <v>162216.74478404227</v>
      </c>
      <c r="C236" s="145">
        <f>B236*'Saisie, cash-flow, rendement'!H$16</f>
        <v>867.00633676403163</v>
      </c>
      <c r="D236" s="14">
        <f t="shared" si="17"/>
        <v>2817.2619408784994</v>
      </c>
      <c r="E236" s="14">
        <f t="shared" si="18"/>
        <v>160266.4891799278</v>
      </c>
      <c r="F236" s="14">
        <f t="shared" si="19"/>
        <v>1950.2556041144708</v>
      </c>
      <c r="H236" s="16"/>
      <c r="I236" s="16"/>
    </row>
    <row r="237" spans="1:9">
      <c r="A237" s="9">
        <v>233</v>
      </c>
      <c r="B237" s="14">
        <f t="shared" si="16"/>
        <v>160266.4891799278</v>
      </c>
      <c r="C237" s="145">
        <f>B237*'Saisie, cash-flow, rendement'!H$16</f>
        <v>856.5827274792573</v>
      </c>
      <c r="D237" s="14">
        <f t="shared" si="17"/>
        <v>2817.2619408784994</v>
      </c>
      <c r="E237" s="14">
        <f t="shared" si="18"/>
        <v>158305.80996652856</v>
      </c>
      <c r="F237" s="14">
        <f t="shared" si="19"/>
        <v>1960.6792133992421</v>
      </c>
      <c r="H237" s="16"/>
      <c r="I237" s="16"/>
    </row>
    <row r="238" spans="1:9">
      <c r="A238" s="9">
        <v>234</v>
      </c>
      <c r="B238" s="14">
        <f t="shared" si="16"/>
        <v>158305.80996652856</v>
      </c>
      <c r="C238" s="145">
        <f>B238*'Saisie, cash-flow, rendement'!H$16</f>
        <v>846.1034067122074</v>
      </c>
      <c r="D238" s="14">
        <f t="shared" si="17"/>
        <v>2817.2619408784994</v>
      </c>
      <c r="E238" s="14">
        <f t="shared" si="18"/>
        <v>156334.65143236227</v>
      </c>
      <c r="F238" s="14">
        <f t="shared" si="19"/>
        <v>1971.1585341662867</v>
      </c>
      <c r="H238" s="16"/>
      <c r="I238" s="16"/>
    </row>
    <row r="239" spans="1:9">
      <c r="A239" s="9">
        <v>235</v>
      </c>
      <c r="B239" s="14">
        <f t="shared" si="16"/>
        <v>156334.65143236227</v>
      </c>
      <c r="C239" s="145">
        <f>B239*'Saisie, cash-flow, rendement'!H$16</f>
        <v>835.56807669948978</v>
      </c>
      <c r="D239" s="14">
        <f t="shared" si="17"/>
        <v>2817.2619408784994</v>
      </c>
      <c r="E239" s="14">
        <f t="shared" si="18"/>
        <v>154352.95756818325</v>
      </c>
      <c r="F239" s="14">
        <f t="shared" si="19"/>
        <v>1981.6938641790184</v>
      </c>
      <c r="H239" s="16"/>
      <c r="I239" s="16"/>
    </row>
    <row r="240" spans="1:9">
      <c r="A240" s="9">
        <v>236</v>
      </c>
      <c r="B240" s="14">
        <f t="shared" si="16"/>
        <v>154352.95756818325</v>
      </c>
      <c r="C240" s="145">
        <f>B240*'Saisie, cash-flow, rendement'!H$16</f>
        <v>824.97643808624457</v>
      </c>
      <c r="D240" s="14">
        <f t="shared" si="17"/>
        <v>2817.2619408784994</v>
      </c>
      <c r="E240" s="14">
        <f t="shared" si="18"/>
        <v>152360.672065391</v>
      </c>
      <c r="F240" s="14">
        <f t="shared" si="19"/>
        <v>1992.2855027922487</v>
      </c>
      <c r="H240" s="16"/>
      <c r="I240" s="16"/>
    </row>
    <row r="241" spans="1:9">
      <c r="A241" s="9">
        <v>237</v>
      </c>
      <c r="B241" s="14">
        <f t="shared" si="16"/>
        <v>152360.672065391</v>
      </c>
      <c r="C241" s="145">
        <f>B241*'Saisie, cash-flow, rendement'!H$16</f>
        <v>814.32818991763793</v>
      </c>
      <c r="D241" s="14">
        <f t="shared" si="17"/>
        <v>2817.2619408784994</v>
      </c>
      <c r="E241" s="14">
        <f t="shared" si="18"/>
        <v>150357.73831443014</v>
      </c>
      <c r="F241" s="14">
        <f t="shared" si="19"/>
        <v>2002.9337509608595</v>
      </c>
      <c r="H241" s="16"/>
      <c r="I241" s="16"/>
    </row>
    <row r="242" spans="1:9">
      <c r="A242" s="9">
        <v>238</v>
      </c>
      <c r="B242" s="14">
        <f t="shared" si="16"/>
        <v>150357.73831443014</v>
      </c>
      <c r="C242" s="145">
        <f>B242*'Saisie, cash-flow, rendement'!H$16</f>
        <v>803.62302963031084</v>
      </c>
      <c r="D242" s="14">
        <f t="shared" si="17"/>
        <v>2817.2619408784994</v>
      </c>
      <c r="E242" s="14">
        <f t="shared" si="18"/>
        <v>148344.09940318196</v>
      </c>
      <c r="F242" s="14">
        <f t="shared" si="19"/>
        <v>2013.6389112481847</v>
      </c>
      <c r="H242" s="16"/>
      <c r="I242" s="16"/>
    </row>
    <row r="243" spans="1:9">
      <c r="A243" s="9">
        <v>239</v>
      </c>
      <c r="B243" s="14">
        <f t="shared" si="16"/>
        <v>148344.09940318196</v>
      </c>
      <c r="C243" s="145">
        <f>B243*'Saisie, cash-flow, rendement'!H$16</f>
        <v>792.86065304378133</v>
      </c>
      <c r="D243" s="14">
        <f t="shared" si="17"/>
        <v>2817.2619408784994</v>
      </c>
      <c r="E243" s="14">
        <f t="shared" si="18"/>
        <v>146319.69811534724</v>
      </c>
      <c r="F243" s="14">
        <f t="shared" si="19"/>
        <v>2024.401287834713</v>
      </c>
      <c r="H243" s="16"/>
      <c r="I243" s="16"/>
    </row>
    <row r="244" spans="1:9">
      <c r="A244" s="18">
        <v>240</v>
      </c>
      <c r="B244" s="19">
        <f t="shared" si="16"/>
        <v>146319.69811534724</v>
      </c>
      <c r="C244" s="145">
        <f>B244*'Saisie, cash-flow, rendement'!H$16</f>
        <v>782.04075435180221</v>
      </c>
      <c r="D244" s="19">
        <f t="shared" si="17"/>
        <v>2817.2619408784994</v>
      </c>
      <c r="E244" s="19">
        <f t="shared" si="18"/>
        <v>144284.47692882054</v>
      </c>
      <c r="F244" s="19">
        <f t="shared" si="19"/>
        <v>2035.2211865267018</v>
      </c>
      <c r="G244" s="18" t="s">
        <v>38</v>
      </c>
      <c r="H244" s="20">
        <f>SUM(C233:C244)</f>
        <v>10086.097597129341</v>
      </c>
      <c r="I244" s="20">
        <f>SUM(F233:F244)</f>
        <v>23721.045693412627</v>
      </c>
    </row>
    <row r="245" spans="1:9">
      <c r="A245" s="9">
        <v>241</v>
      </c>
      <c r="B245" s="14">
        <f t="shared" si="16"/>
        <v>144284.47692882054</v>
      </c>
      <c r="C245" s="145">
        <f>B245*'Saisie, cash-flow, rendement'!H$16</f>
        <v>771.16302611367132</v>
      </c>
      <c r="D245" s="14">
        <f t="shared" si="17"/>
        <v>2817.2619408784994</v>
      </c>
      <c r="E245" s="14">
        <f t="shared" si="18"/>
        <v>142238.37801405572</v>
      </c>
      <c r="F245" s="14">
        <f t="shared" si="19"/>
        <v>2046.0989147648215</v>
      </c>
      <c r="H245" s="16"/>
      <c r="I245" s="16"/>
    </row>
    <row r="246" spans="1:9">
      <c r="A246" s="9">
        <v>242</v>
      </c>
      <c r="B246" s="14">
        <f t="shared" si="16"/>
        <v>142238.37801405572</v>
      </c>
      <c r="C246" s="145">
        <f>B246*'Saisie, cash-flow, rendement'!H$16</f>
        <v>760.22715924549561</v>
      </c>
      <c r="D246" s="14">
        <f t="shared" si="17"/>
        <v>2817.2619408784994</v>
      </c>
      <c r="E246" s="14">
        <f t="shared" si="18"/>
        <v>140181.34323242272</v>
      </c>
      <c r="F246" s="14">
        <f t="shared" si="19"/>
        <v>2057.0347816330031</v>
      </c>
      <c r="H246" s="16"/>
      <c r="I246" s="16"/>
    </row>
    <row r="247" spans="1:9">
      <c r="A247" s="9">
        <v>243</v>
      </c>
      <c r="B247" s="14">
        <f t="shared" si="16"/>
        <v>140181.34323242272</v>
      </c>
      <c r="C247" s="145">
        <f>B247*'Saisie, cash-flow, rendement'!H$16</f>
        <v>749.23284301140939</v>
      </c>
      <c r="D247" s="14">
        <f t="shared" si="17"/>
        <v>2817.2619408784994</v>
      </c>
      <c r="E247" s="14">
        <f t="shared" si="18"/>
        <v>138113.31413455564</v>
      </c>
      <c r="F247" s="14">
        <f t="shared" si="19"/>
        <v>2068.0290978670819</v>
      </c>
      <c r="H247" s="16"/>
      <c r="I247" s="16"/>
    </row>
    <row r="248" spans="1:9">
      <c r="A248" s="9">
        <v>244</v>
      </c>
      <c r="B248" s="14">
        <f t="shared" si="16"/>
        <v>138113.31413455564</v>
      </c>
      <c r="C248" s="145">
        <f>B248*'Saisie, cash-flow, rendement'!H$16</f>
        <v>738.17976501474413</v>
      </c>
      <c r="D248" s="14">
        <f t="shared" si="17"/>
        <v>2817.2619408784994</v>
      </c>
      <c r="E248" s="14">
        <f t="shared" si="18"/>
        <v>136034.23195869187</v>
      </c>
      <c r="F248" s="14">
        <f t="shared" si="19"/>
        <v>2079.0821758637612</v>
      </c>
      <c r="H248" s="16"/>
      <c r="I248" s="16"/>
    </row>
    <row r="249" spans="1:9">
      <c r="A249" s="9">
        <v>245</v>
      </c>
      <c r="B249" s="14">
        <f t="shared" si="16"/>
        <v>136034.23195869187</v>
      </c>
      <c r="C249" s="145">
        <f>B249*'Saisie, cash-flow, rendement'!H$16</f>
        <v>727.06761118915233</v>
      </c>
      <c r="D249" s="14">
        <f t="shared" si="17"/>
        <v>2817.2619408784994</v>
      </c>
      <c r="E249" s="14">
        <f t="shared" si="18"/>
        <v>133944.03762900253</v>
      </c>
      <c r="F249" s="14">
        <f t="shared" si="19"/>
        <v>2090.1943296893442</v>
      </c>
      <c r="H249" s="16"/>
      <c r="I249" s="16"/>
    </row>
    <row r="250" spans="1:9">
      <c r="A250" s="9">
        <v>246</v>
      </c>
      <c r="B250" s="14">
        <f t="shared" si="16"/>
        <v>133944.03762900253</v>
      </c>
      <c r="C250" s="145">
        <f>B250*'Saisie, cash-flow, rendement'!H$16</f>
        <v>715.89606578968392</v>
      </c>
      <c r="D250" s="14">
        <f t="shared" si="17"/>
        <v>2817.2619408784994</v>
      </c>
      <c r="E250" s="14">
        <f t="shared" si="18"/>
        <v>131842.67175391372</v>
      </c>
      <c r="F250" s="14">
        <f t="shared" si="19"/>
        <v>2101.3658750888135</v>
      </c>
      <c r="H250" s="16"/>
      <c r="I250" s="16"/>
    </row>
    <row r="251" spans="1:9">
      <c r="A251" s="9">
        <v>247</v>
      </c>
      <c r="B251" s="14">
        <f t="shared" si="16"/>
        <v>131842.67175391372</v>
      </c>
      <c r="C251" s="145">
        <f>B251*'Saisie, cash-flow, rendement'!H$16</f>
        <v>704.6648113838138</v>
      </c>
      <c r="D251" s="14">
        <f t="shared" si="17"/>
        <v>2817.2619408784994</v>
      </c>
      <c r="E251" s="14">
        <f t="shared" si="18"/>
        <v>129730.07462441904</v>
      </c>
      <c r="F251" s="14">
        <f t="shared" si="19"/>
        <v>2112.5971294946794</v>
      </c>
      <c r="H251" s="16"/>
      <c r="I251" s="16"/>
    </row>
    <row r="252" spans="1:9">
      <c r="A252" s="9">
        <v>248</v>
      </c>
      <c r="B252" s="14">
        <f t="shared" si="16"/>
        <v>129730.07462441904</v>
      </c>
      <c r="C252" s="145">
        <f>B252*'Saisie, cash-flow, rendement'!H$16</f>
        <v>693.37352884242239</v>
      </c>
      <c r="D252" s="14">
        <f t="shared" si="17"/>
        <v>2817.2619408784994</v>
      </c>
      <c r="E252" s="14">
        <f t="shared" si="18"/>
        <v>127606.18621238296</v>
      </c>
      <c r="F252" s="14">
        <f t="shared" si="19"/>
        <v>2123.8884120360744</v>
      </c>
      <c r="H252" s="16"/>
      <c r="I252" s="16"/>
    </row>
    <row r="253" spans="1:9">
      <c r="A253" s="9">
        <v>249</v>
      </c>
      <c r="B253" s="14">
        <f t="shared" si="16"/>
        <v>127606.18621238296</v>
      </c>
      <c r="C253" s="145">
        <f>B253*'Saisie, cash-flow, rendement'!H$16</f>
        <v>682.02189733072828</v>
      </c>
      <c r="D253" s="14">
        <f t="shared" si="17"/>
        <v>2817.2619408784994</v>
      </c>
      <c r="E253" s="14">
        <f t="shared" si="18"/>
        <v>125470.9461688352</v>
      </c>
      <c r="F253" s="14">
        <f t="shared" si="19"/>
        <v>2135.2400435477612</v>
      </c>
      <c r="H253" s="16"/>
      <c r="I253" s="16"/>
    </row>
    <row r="254" spans="1:9">
      <c r="A254" s="9">
        <v>250</v>
      </c>
      <c r="B254" s="14">
        <f t="shared" si="16"/>
        <v>125470.9461688352</v>
      </c>
      <c r="C254" s="145">
        <f>B254*'Saisie, cash-flow, rendement'!H$16</f>
        <v>670.60959429917148</v>
      </c>
      <c r="D254" s="14">
        <f t="shared" si="17"/>
        <v>2817.2619408784994</v>
      </c>
      <c r="E254" s="14">
        <f t="shared" si="18"/>
        <v>123324.29382225587</v>
      </c>
      <c r="F254" s="14">
        <f t="shared" si="19"/>
        <v>2146.6523465793289</v>
      </c>
      <c r="H254" s="16"/>
      <c r="I254" s="16"/>
    </row>
    <row r="255" spans="1:9">
      <c r="A255" s="9">
        <v>251</v>
      </c>
      <c r="B255" s="14">
        <f t="shared" si="16"/>
        <v>123324.29382225587</v>
      </c>
      <c r="C255" s="145">
        <f>B255*'Saisie, cash-flow, rendement'!H$16</f>
        <v>659.13629547424796</v>
      </c>
      <c r="D255" s="14">
        <f t="shared" si="17"/>
        <v>2817.2619408784994</v>
      </c>
      <c r="E255" s="14">
        <f t="shared" si="18"/>
        <v>121166.16817685163</v>
      </c>
      <c r="F255" s="14">
        <f t="shared" si="19"/>
        <v>2158.125645404245</v>
      </c>
      <c r="H255" s="16"/>
      <c r="I255" s="16"/>
    </row>
    <row r="256" spans="1:9">
      <c r="A256" s="18">
        <v>252</v>
      </c>
      <c r="B256" s="19">
        <f t="shared" si="16"/>
        <v>121166.16817685163</v>
      </c>
      <c r="C256" s="145">
        <f>B256*'Saisie, cash-flow, rendement'!H$16</f>
        <v>647.60167484929684</v>
      </c>
      <c r="D256" s="19">
        <f t="shared" si="17"/>
        <v>2817.2619408784994</v>
      </c>
      <c r="E256" s="19">
        <f t="shared" si="18"/>
        <v>118996.50791082243</v>
      </c>
      <c r="F256" s="19">
        <f t="shared" si="19"/>
        <v>2169.6602660291974</v>
      </c>
      <c r="G256" s="18" t="s">
        <v>39</v>
      </c>
      <c r="H256" s="20">
        <f>SUM(C245:C256)</f>
        <v>8519.174272543838</v>
      </c>
      <c r="I256" s="20">
        <f>SUM(F245:F256)</f>
        <v>25287.969017998112</v>
      </c>
    </row>
    <row r="257" spans="1:9">
      <c r="A257" s="9">
        <v>253</v>
      </c>
      <c r="B257" s="14">
        <f t="shared" si="16"/>
        <v>118996.50791082243</v>
      </c>
      <c r="C257" s="145">
        <f>B257*'Saisie, cash-flow, rendement'!H$16</f>
        <v>636.00540467523592</v>
      </c>
      <c r="D257" s="14">
        <f t="shared" si="17"/>
        <v>2817.2619408784994</v>
      </c>
      <c r="E257" s="14">
        <f t="shared" si="18"/>
        <v>116815.25137461917</v>
      </c>
      <c r="F257" s="14">
        <f t="shared" si="19"/>
        <v>2181.2565362032619</v>
      </c>
      <c r="H257" s="16"/>
      <c r="I257" s="16"/>
    </row>
    <row r="258" spans="1:9">
      <c r="A258" s="9">
        <v>254</v>
      </c>
      <c r="B258" s="14">
        <f t="shared" si="16"/>
        <v>116815.25137461917</v>
      </c>
      <c r="C258" s="145">
        <f>B258*'Saisie, cash-flow, rendement'!H$16</f>
        <v>624.34715545124936</v>
      </c>
      <c r="D258" s="14">
        <f t="shared" si="17"/>
        <v>2817.2619408784994</v>
      </c>
      <c r="E258" s="14">
        <f t="shared" si="18"/>
        <v>114622.33658919192</v>
      </c>
      <c r="F258" s="14">
        <f t="shared" si="19"/>
        <v>2192.9147854272451</v>
      </c>
      <c r="H258" s="16"/>
      <c r="I258" s="16"/>
    </row>
    <row r="259" spans="1:9">
      <c r="A259" s="9">
        <v>255</v>
      </c>
      <c r="B259" s="14">
        <f t="shared" si="16"/>
        <v>114622.33658919192</v>
      </c>
      <c r="C259" s="145">
        <f>B259*'Saisie, cash-flow, rendement'!H$16</f>
        <v>612.62659591542524</v>
      </c>
      <c r="D259" s="14">
        <f t="shared" si="17"/>
        <v>2817.2619408784994</v>
      </c>
      <c r="E259" s="14">
        <f t="shared" si="18"/>
        <v>112417.70124422885</v>
      </c>
      <c r="F259" s="14">
        <f t="shared" si="19"/>
        <v>2204.6353449630697</v>
      </c>
      <c r="H259" s="16"/>
      <c r="I259" s="16"/>
    </row>
    <row r="260" spans="1:9">
      <c r="A260" s="9">
        <v>256</v>
      </c>
      <c r="B260" s="14">
        <f t="shared" si="16"/>
        <v>112417.70124422885</v>
      </c>
      <c r="C260" s="145">
        <f>B260*'Saisie, cash-flow, rendement'!H$16</f>
        <v>600.84339303534273</v>
      </c>
      <c r="D260" s="14">
        <f t="shared" si="17"/>
        <v>2817.2619408784994</v>
      </c>
      <c r="E260" s="14">
        <f t="shared" si="18"/>
        <v>110201.28269638571</v>
      </c>
      <c r="F260" s="14">
        <f t="shared" si="19"/>
        <v>2216.4185478431464</v>
      </c>
      <c r="H260" s="16"/>
      <c r="I260" s="16"/>
    </row>
    <row r="261" spans="1:9">
      <c r="A261" s="9">
        <v>257</v>
      </c>
      <c r="B261" s="14">
        <f t="shared" si="16"/>
        <v>110201.28269638571</v>
      </c>
      <c r="C261" s="145">
        <f>B261*'Saisie, cash-flow, rendement'!H$16</f>
        <v>588.99721199860926</v>
      </c>
      <c r="D261" s="14">
        <f t="shared" si="17"/>
        <v>2817.2619408784994</v>
      </c>
      <c r="E261" s="14">
        <f t="shared" si="18"/>
        <v>107973.01796750582</v>
      </c>
      <c r="F261" s="14">
        <f t="shared" si="19"/>
        <v>2228.2647288798908</v>
      </c>
      <c r="H261" s="16"/>
      <c r="I261" s="16"/>
    </row>
    <row r="262" spans="1:9">
      <c r="A262" s="9">
        <v>258</v>
      </c>
      <c r="B262" s="14">
        <f t="shared" si="16"/>
        <v>107973.01796750582</v>
      </c>
      <c r="C262" s="145">
        <f>B262*'Saisie, cash-flow, rendement'!H$16</f>
        <v>577.08771620334721</v>
      </c>
      <c r="D262" s="14">
        <f t="shared" si="17"/>
        <v>2817.2619408784994</v>
      </c>
      <c r="E262" s="14">
        <f t="shared" si="18"/>
        <v>105732.84374283066</v>
      </c>
      <c r="F262" s="14">
        <f t="shared" si="19"/>
        <v>2240.1742246751528</v>
      </c>
      <c r="H262" s="16"/>
      <c r="I262" s="16"/>
    </row>
    <row r="263" spans="1:9">
      <c r="A263" s="9">
        <v>259</v>
      </c>
      <c r="B263" s="14">
        <f t="shared" si="16"/>
        <v>105732.84374283066</v>
      </c>
      <c r="C263" s="145">
        <f>B263*'Saisie, cash-flow, rendement'!H$16</f>
        <v>565.11456724862921</v>
      </c>
      <c r="D263" s="14">
        <f t="shared" si="17"/>
        <v>2817.2619408784994</v>
      </c>
      <c r="E263" s="14">
        <f t="shared" si="18"/>
        <v>103480.6963692008</v>
      </c>
      <c r="F263" s="14">
        <f t="shared" si="19"/>
        <v>2252.1473736298649</v>
      </c>
      <c r="H263" s="16"/>
      <c r="I263" s="16"/>
    </row>
    <row r="264" spans="1:9">
      <c r="A264" s="9">
        <v>260</v>
      </c>
      <c r="B264" s="14">
        <f t="shared" si="16"/>
        <v>103480.6963692008</v>
      </c>
      <c r="C264" s="145">
        <f>B264*'Saisie, cash-flow, rendement'!H$16</f>
        <v>553.07742492486307</v>
      </c>
      <c r="D264" s="14">
        <f t="shared" si="17"/>
        <v>2817.2619408784994</v>
      </c>
      <c r="E264" s="14">
        <f t="shared" si="18"/>
        <v>101216.51185324717</v>
      </c>
      <c r="F264" s="14">
        <f t="shared" si="19"/>
        <v>2264.1845159536315</v>
      </c>
      <c r="H264" s="16"/>
      <c r="I264" s="16"/>
    </row>
    <row r="265" spans="1:9">
      <c r="A265" s="9">
        <v>261</v>
      </c>
      <c r="B265" s="14">
        <f t="shared" si="16"/>
        <v>101216.51185324717</v>
      </c>
      <c r="C265" s="145">
        <f>B265*'Saisie, cash-flow, rendement'!H$16</f>
        <v>540.97594720412462</v>
      </c>
      <c r="D265" s="14">
        <f t="shared" si="17"/>
        <v>2817.2619408784994</v>
      </c>
      <c r="E265" s="14">
        <f t="shared" si="18"/>
        <v>98940.225859572791</v>
      </c>
      <c r="F265" s="14">
        <f t="shared" si="19"/>
        <v>2276.2859936743771</v>
      </c>
      <c r="H265" s="16"/>
      <c r="I265" s="16"/>
    </row>
    <row r="266" spans="1:9">
      <c r="A266" s="9">
        <v>262</v>
      </c>
      <c r="B266" s="14">
        <f t="shared" si="16"/>
        <v>98940.225859572791</v>
      </c>
      <c r="C266" s="145">
        <f>B266*'Saisie, cash-flow, rendement'!H$16</f>
        <v>528.80979023043938</v>
      </c>
      <c r="D266" s="14">
        <f t="shared" si="17"/>
        <v>2817.2619408784994</v>
      </c>
      <c r="E266" s="14">
        <f t="shared" si="18"/>
        <v>96651.773708924738</v>
      </c>
      <c r="F266" s="14">
        <f t="shared" si="19"/>
        <v>2288.4521506480523</v>
      </c>
      <c r="H266" s="16"/>
      <c r="I266" s="16"/>
    </row>
    <row r="267" spans="1:9">
      <c r="A267" s="9">
        <v>263</v>
      </c>
      <c r="B267" s="14">
        <f t="shared" si="16"/>
        <v>96651.773708924738</v>
      </c>
      <c r="C267" s="145">
        <f>B267*'Saisie, cash-flow, rendement'!H$16</f>
        <v>516.57860831001221</v>
      </c>
      <c r="D267" s="14">
        <f t="shared" si="17"/>
        <v>2817.2619408784994</v>
      </c>
      <c r="E267" s="14">
        <f t="shared" si="18"/>
        <v>94351.090376356253</v>
      </c>
      <c r="F267" s="14">
        <f t="shared" si="19"/>
        <v>2300.6833325684856</v>
      </c>
      <c r="H267" s="16"/>
      <c r="I267" s="16"/>
    </row>
    <row r="268" spans="1:9">
      <c r="A268" s="18">
        <v>264</v>
      </c>
      <c r="B268" s="19">
        <f t="shared" si="16"/>
        <v>94351.090376356253</v>
      </c>
      <c r="C268" s="145">
        <f>B268*'Saisie, cash-flow, rendement'!H$16</f>
        <v>504.28205390140408</v>
      </c>
      <c r="D268" s="19">
        <f t="shared" si="17"/>
        <v>2817.2619408784994</v>
      </c>
      <c r="E268" s="19">
        <f t="shared" si="18"/>
        <v>92038.110489379163</v>
      </c>
      <c r="F268" s="19">
        <f t="shared" si="19"/>
        <v>2312.9798869770893</v>
      </c>
      <c r="G268" s="18" t="s">
        <v>40</v>
      </c>
      <c r="H268" s="20">
        <f>SUM(C257:C268)</f>
        <v>6848.7458690986832</v>
      </c>
      <c r="I268" s="20">
        <f>SUM(F257:F268)</f>
        <v>26958.397421443267</v>
      </c>
    </row>
    <row r="269" spans="1:9">
      <c r="A269" s="9">
        <v>265</v>
      </c>
      <c r="B269" s="14">
        <f t="shared" si="16"/>
        <v>92038.110489379163</v>
      </c>
      <c r="C269" s="145">
        <f>B269*'Saisie, cash-flow, rendement'!H$16</f>
        <v>491.91977760565783</v>
      </c>
      <c r="D269" s="14">
        <f t="shared" si="17"/>
        <v>2817.2619408784994</v>
      </c>
      <c r="E269" s="14">
        <f t="shared" si="18"/>
        <v>89712.768326106321</v>
      </c>
      <c r="F269" s="14">
        <f t="shared" si="19"/>
        <v>2325.3421632728423</v>
      </c>
      <c r="H269" s="16"/>
      <c r="I269" s="16"/>
    </row>
    <row r="270" spans="1:9">
      <c r="A270" s="9">
        <v>266</v>
      </c>
      <c r="B270" s="14">
        <f t="shared" si="16"/>
        <v>89712.768326106321</v>
      </c>
      <c r="C270" s="145">
        <f>B270*'Saisie, cash-flow, rendement'!H$16</f>
        <v>479.49142815636924</v>
      </c>
      <c r="D270" s="14">
        <f t="shared" si="17"/>
        <v>2817.2619408784994</v>
      </c>
      <c r="E270" s="14">
        <f t="shared" si="18"/>
        <v>87374.997813384194</v>
      </c>
      <c r="F270" s="14">
        <f t="shared" si="19"/>
        <v>2337.770512722127</v>
      </c>
      <c r="H270" s="16"/>
      <c r="I270" s="16"/>
    </row>
    <row r="271" spans="1:9">
      <c r="A271" s="9">
        <v>267</v>
      </c>
      <c r="B271" s="14">
        <f t="shared" si="16"/>
        <v>87374.997813384194</v>
      </c>
      <c r="C271" s="145">
        <f>B271*'Saisie, cash-flow, rendement'!H$16</f>
        <v>466.99665240970683</v>
      </c>
      <c r="D271" s="14">
        <f t="shared" si="17"/>
        <v>2817.2619408784994</v>
      </c>
      <c r="E271" s="14">
        <f t="shared" si="18"/>
        <v>85024.732524915409</v>
      </c>
      <c r="F271" s="14">
        <f t="shared" si="19"/>
        <v>2350.265288468785</v>
      </c>
      <c r="H271" s="16"/>
      <c r="I271" s="16"/>
    </row>
    <row r="272" spans="1:9">
      <c r="A272" s="9">
        <v>268</v>
      </c>
      <c r="B272" s="14">
        <f t="shared" si="16"/>
        <v>85024.732524915409</v>
      </c>
      <c r="C272" s="145">
        <f>B272*'Saisie, cash-flow, rendement'!H$16</f>
        <v>454.43509533437685</v>
      </c>
      <c r="D272" s="14">
        <f t="shared" si="17"/>
        <v>2817.2619408784994</v>
      </c>
      <c r="E272" s="14">
        <f t="shared" si="18"/>
        <v>82661.905679371295</v>
      </c>
      <c r="F272" s="14">
        <f t="shared" si="19"/>
        <v>2362.8268455441139</v>
      </c>
      <c r="H272" s="16"/>
      <c r="I272" s="16"/>
    </row>
    <row r="273" spans="1:9">
      <c r="A273" s="9">
        <v>269</v>
      </c>
      <c r="B273" s="14">
        <f t="shared" si="16"/>
        <v>82661.905679371295</v>
      </c>
      <c r="C273" s="145">
        <f>B273*'Saisie, cash-flow, rendement'!H$16</f>
        <v>441.80640000153574</v>
      </c>
      <c r="D273" s="14">
        <f t="shared" si="17"/>
        <v>2817.2619408784994</v>
      </c>
      <c r="E273" s="14">
        <f t="shared" si="18"/>
        <v>80286.450138494329</v>
      </c>
      <c r="F273" s="14">
        <f t="shared" si="19"/>
        <v>2375.4555408769666</v>
      </c>
      <c r="H273" s="16"/>
      <c r="I273" s="16"/>
    </row>
    <row r="274" spans="1:9">
      <c r="A274" s="9">
        <v>270</v>
      </c>
      <c r="B274" s="14">
        <f t="shared" si="16"/>
        <v>80286.450138494329</v>
      </c>
      <c r="C274" s="145">
        <f>B274*'Saisie, cash-flow, rendement'!H$16</f>
        <v>429.11020757464786</v>
      </c>
      <c r="D274" s="14">
        <f t="shared" si="17"/>
        <v>2817.2619408784994</v>
      </c>
      <c r="E274" s="14">
        <f t="shared" si="18"/>
        <v>77898.298405190479</v>
      </c>
      <c r="F274" s="14">
        <f t="shared" si="19"/>
        <v>2388.1517333038501</v>
      </c>
      <c r="H274" s="16"/>
      <c r="I274" s="16"/>
    </row>
    <row r="275" spans="1:9">
      <c r="A275" s="9">
        <v>271</v>
      </c>
      <c r="B275" s="14">
        <f t="shared" si="16"/>
        <v>77898.298405190479</v>
      </c>
      <c r="C275" s="145">
        <f>B275*'Saisie, cash-flow, rendement'!H$16</f>
        <v>416.34615729928976</v>
      </c>
      <c r="D275" s="14">
        <f t="shared" si="17"/>
        <v>2817.2619408784994</v>
      </c>
      <c r="E275" s="14">
        <f t="shared" si="18"/>
        <v>75497.382621611279</v>
      </c>
      <c r="F275" s="14">
        <f t="shared" si="19"/>
        <v>2400.9157835791993</v>
      </c>
      <c r="H275" s="16"/>
      <c r="I275" s="16"/>
    </row>
    <row r="276" spans="1:9">
      <c r="A276" s="9">
        <v>272</v>
      </c>
      <c r="B276" s="14">
        <f t="shared" si="16"/>
        <v>75497.382621611279</v>
      </c>
      <c r="C276" s="145">
        <f>B276*'Saisie, cash-flow, rendement'!H$16</f>
        <v>403.51388649289936</v>
      </c>
      <c r="D276" s="14">
        <f t="shared" si="17"/>
        <v>2817.2619408784994</v>
      </c>
      <c r="E276" s="14">
        <f t="shared" si="18"/>
        <v>73083.634567225687</v>
      </c>
      <c r="F276" s="14">
        <f t="shared" si="19"/>
        <v>2413.7480543855927</v>
      </c>
      <c r="H276" s="16"/>
      <c r="I276" s="16"/>
    </row>
    <row r="277" spans="1:9">
      <c r="A277" s="9">
        <v>273</v>
      </c>
      <c r="B277" s="14">
        <f t="shared" si="16"/>
        <v>73083.634567225687</v>
      </c>
      <c r="C277" s="145">
        <f>B277*'Saisie, cash-flow, rendement'!H$16</f>
        <v>390.6130305344704</v>
      </c>
      <c r="D277" s="14">
        <f t="shared" si="17"/>
        <v>2817.2619408784994</v>
      </c>
      <c r="E277" s="14">
        <f t="shared" si="18"/>
        <v>70656.985656881661</v>
      </c>
      <c r="F277" s="14">
        <f t="shared" si="19"/>
        <v>2426.6489103440254</v>
      </c>
      <c r="H277" s="16"/>
      <c r="I277" s="16"/>
    </row>
    <row r="278" spans="1:9">
      <c r="A278" s="9">
        <v>274</v>
      </c>
      <c r="B278" s="14">
        <f t="shared" si="16"/>
        <v>70656.985656881661</v>
      </c>
      <c r="C278" s="145">
        <f>B278*'Saisie, cash-flow, rendement'!H$16</f>
        <v>377.64322285419223</v>
      </c>
      <c r="D278" s="14">
        <f t="shared" si="17"/>
        <v>2817.2619408784994</v>
      </c>
      <c r="E278" s="14">
        <f t="shared" si="18"/>
        <v>68217.366938857362</v>
      </c>
      <c r="F278" s="14">
        <f t="shared" si="19"/>
        <v>2439.6187180242996</v>
      </c>
      <c r="H278" s="16"/>
      <c r="I278" s="16"/>
    </row>
    <row r="279" spans="1:9">
      <c r="A279" s="9">
        <v>275</v>
      </c>
      <c r="B279" s="14">
        <f t="shared" si="16"/>
        <v>68217.366938857362</v>
      </c>
      <c r="C279" s="145">
        <f>B279*'Saisie, cash-flow, rendement'!H$16</f>
        <v>364.60409492303376</v>
      </c>
      <c r="D279" s="14">
        <f t="shared" si="17"/>
        <v>2817.2619408784994</v>
      </c>
      <c r="E279" s="14">
        <f t="shared" si="18"/>
        <v>65764.709092901903</v>
      </c>
      <c r="F279" s="14">
        <f t="shared" si="19"/>
        <v>2452.6578459554585</v>
      </c>
      <c r="H279" s="16"/>
      <c r="I279" s="16"/>
    </row>
    <row r="280" spans="1:9">
      <c r="A280" s="18">
        <v>276</v>
      </c>
      <c r="B280" s="19">
        <f t="shared" si="16"/>
        <v>65764.709092901903</v>
      </c>
      <c r="C280" s="145">
        <f>B280*'Saisie, cash-flow, rendement'!H$16</f>
        <v>351.49527624227204</v>
      </c>
      <c r="D280" s="19">
        <f t="shared" si="17"/>
        <v>2817.2619408784994</v>
      </c>
      <c r="E280" s="19">
        <f t="shared" si="18"/>
        <v>63298.942428265684</v>
      </c>
      <c r="F280" s="19">
        <f t="shared" si="19"/>
        <v>2465.7666646362195</v>
      </c>
      <c r="G280" s="18" t="s">
        <v>41</v>
      </c>
      <c r="H280" s="20">
        <f>SUM(C269:C280)</f>
        <v>5067.9752294284517</v>
      </c>
      <c r="I280" s="20">
        <f>SUM(F269:F280)</f>
        <v>28739.16806111348</v>
      </c>
    </row>
    <row r="281" spans="1:9">
      <c r="A281" s="9">
        <v>277</v>
      </c>
      <c r="B281" s="14">
        <f t="shared" si="16"/>
        <v>63298.942428265684</v>
      </c>
      <c r="C281" s="145">
        <f>B281*'Saisie, cash-flow, rendement'!H$16</f>
        <v>338.31639433296488</v>
      </c>
      <c r="D281" s="14">
        <f t="shared" si="17"/>
        <v>2817.2619408784994</v>
      </c>
      <c r="E281" s="14">
        <f t="shared" si="18"/>
        <v>60819.996881720144</v>
      </c>
      <c r="F281" s="14">
        <f t="shared" si="19"/>
        <v>2478.9455465455394</v>
      </c>
      <c r="H281" s="16"/>
      <c r="I281" s="16"/>
    </row>
    <row r="282" spans="1:9">
      <c r="A282" s="9">
        <v>278</v>
      </c>
      <c r="B282" s="14">
        <f t="shared" si="16"/>
        <v>60819.996881720144</v>
      </c>
      <c r="C282" s="145">
        <f>B282*'Saisie, cash-flow, rendement'!H$16</f>
        <v>325.06707472536669</v>
      </c>
      <c r="D282" s="14">
        <f t="shared" si="17"/>
        <v>2817.2619408784994</v>
      </c>
      <c r="E282" s="14">
        <f t="shared" si="18"/>
        <v>58327.802015567009</v>
      </c>
      <c r="F282" s="14">
        <f t="shared" si="19"/>
        <v>2492.1948661531351</v>
      </c>
      <c r="H282" s="16"/>
      <c r="I282" s="16"/>
    </row>
    <row r="283" spans="1:9">
      <c r="A283" s="9">
        <v>279</v>
      </c>
      <c r="B283" s="14">
        <f t="shared" si="16"/>
        <v>58327.802015567009</v>
      </c>
      <c r="C283" s="145">
        <f>B283*'Saisie, cash-flow, rendement'!H$16</f>
        <v>311.74694094828874</v>
      </c>
      <c r="D283" s="14">
        <f t="shared" si="17"/>
        <v>2817.2619408784994</v>
      </c>
      <c r="E283" s="14">
        <f t="shared" si="18"/>
        <v>55822.287015636801</v>
      </c>
      <c r="F283" s="14">
        <f t="shared" si="19"/>
        <v>2505.5149999302084</v>
      </c>
      <c r="H283" s="16"/>
      <c r="I283" s="16"/>
    </row>
    <row r="284" spans="1:9">
      <c r="A284" s="9">
        <v>280</v>
      </c>
      <c r="B284" s="14">
        <f t="shared" si="16"/>
        <v>55822.287015636801</v>
      </c>
      <c r="C284" s="145">
        <f>B284*'Saisie, cash-flow, rendement'!H$16</f>
        <v>298.35561451840152</v>
      </c>
      <c r="D284" s="14">
        <f t="shared" si="17"/>
        <v>2817.2619408784994</v>
      </c>
      <c r="E284" s="14">
        <f t="shared" si="18"/>
        <v>53303.380689276702</v>
      </c>
      <c r="F284" s="14">
        <f t="shared" si="19"/>
        <v>2518.9063263600983</v>
      </c>
      <c r="H284" s="16"/>
      <c r="I284" s="16"/>
    </row>
    <row r="285" spans="1:9">
      <c r="A285" s="9">
        <v>281</v>
      </c>
      <c r="B285" s="14">
        <f t="shared" si="16"/>
        <v>53303.380689276702</v>
      </c>
      <c r="C285" s="145">
        <f>B285*'Saisie, cash-flow, rendement'!H$16</f>
        <v>284.89271492948035</v>
      </c>
      <c r="D285" s="14">
        <f t="shared" si="17"/>
        <v>2817.2619408784994</v>
      </c>
      <c r="E285" s="14">
        <f t="shared" si="18"/>
        <v>50771.011463327683</v>
      </c>
      <c r="F285" s="14">
        <f t="shared" si="19"/>
        <v>2532.3692259490199</v>
      </c>
      <c r="H285" s="16"/>
      <c r="I285" s="16"/>
    </row>
    <row r="286" spans="1:9">
      <c r="A286" s="9">
        <v>282</v>
      </c>
      <c r="B286" s="14">
        <f t="shared" si="16"/>
        <v>50771.011463327683</v>
      </c>
      <c r="C286" s="145">
        <f>B286*'Saisie, cash-flow, rendement'!H$16</f>
        <v>271.35785964159385</v>
      </c>
      <c r="D286" s="14">
        <f t="shared" si="17"/>
        <v>2817.2619408784994</v>
      </c>
      <c r="E286" s="14">
        <f t="shared" si="18"/>
        <v>48225.107382090777</v>
      </c>
      <c r="F286" s="14">
        <f t="shared" si="19"/>
        <v>2545.9040812369058</v>
      </c>
      <c r="H286" s="16"/>
      <c r="I286" s="16"/>
    </row>
    <row r="287" spans="1:9">
      <c r="A287" s="9">
        <v>283</v>
      </c>
      <c r="B287" s="14">
        <f t="shared" si="16"/>
        <v>48225.107382090777</v>
      </c>
      <c r="C287" s="145">
        <f>B287*'Saisie, cash-flow, rendement'!H$16</f>
        <v>257.75066407023417</v>
      </c>
      <c r="D287" s="14">
        <f t="shared" si="17"/>
        <v>2817.2619408784994</v>
      </c>
      <c r="E287" s="14">
        <f t="shared" si="18"/>
        <v>45665.596105282515</v>
      </c>
      <c r="F287" s="14">
        <f t="shared" si="19"/>
        <v>2559.5112768082618</v>
      </c>
      <c r="H287" s="16"/>
      <c r="I287" s="16"/>
    </row>
    <row r="288" spans="1:9">
      <c r="A288" s="9">
        <v>284</v>
      </c>
      <c r="B288" s="14">
        <f t="shared" si="16"/>
        <v>45665.596105282515</v>
      </c>
      <c r="C288" s="145">
        <f>B288*'Saisie, cash-flow, rendement'!H$16</f>
        <v>244.07074157538906</v>
      </c>
      <c r="D288" s="14">
        <f t="shared" si="17"/>
        <v>2817.2619408784994</v>
      </c>
      <c r="E288" s="14">
        <f t="shared" si="18"/>
        <v>43092.404905979405</v>
      </c>
      <c r="F288" s="14">
        <f t="shared" si="19"/>
        <v>2573.1911993031099</v>
      </c>
      <c r="H288" s="16"/>
      <c r="I288" s="16"/>
    </row>
    <row r="289" spans="1:9">
      <c r="A289" s="9">
        <v>285</v>
      </c>
      <c r="B289" s="14">
        <f t="shared" si="16"/>
        <v>43092.404905979405</v>
      </c>
      <c r="C289" s="145">
        <f>B289*'Saisie, cash-flow, rendement'!H$16</f>
        <v>230.31770345055611</v>
      </c>
      <c r="D289" s="14">
        <f t="shared" si="17"/>
        <v>2817.2619408784994</v>
      </c>
      <c r="E289" s="14">
        <f t="shared" si="18"/>
        <v>40505.460668551459</v>
      </c>
      <c r="F289" s="14">
        <f t="shared" si="19"/>
        <v>2586.9442374279461</v>
      </c>
      <c r="H289" s="16"/>
      <c r="I289" s="16"/>
    </row>
    <row r="290" spans="1:9">
      <c r="A290" s="9">
        <v>286</v>
      </c>
      <c r="B290" s="14">
        <f t="shared" si="16"/>
        <v>40505.460668551459</v>
      </c>
      <c r="C290" s="145">
        <f>B290*'Saisie, cash-flow, rendement'!H$16</f>
        <v>216.49115891169745</v>
      </c>
      <c r="D290" s="14">
        <f t="shared" si="17"/>
        <v>2817.2619408784994</v>
      </c>
      <c r="E290" s="14">
        <f t="shared" si="18"/>
        <v>37904.68988658466</v>
      </c>
      <c r="F290" s="14">
        <f t="shared" si="19"/>
        <v>2600.7707819667994</v>
      </c>
      <c r="H290" s="16"/>
      <c r="I290" s="16"/>
    </row>
    <row r="291" spans="1:9">
      <c r="A291" s="9">
        <v>287</v>
      </c>
      <c r="B291" s="14">
        <f t="shared" si="16"/>
        <v>37904.68988658466</v>
      </c>
      <c r="C291" s="145">
        <f>B291*'Saisie, cash-flow, rendement'!H$16</f>
        <v>202.59071508613636</v>
      </c>
      <c r="D291" s="14">
        <f t="shared" si="17"/>
        <v>2817.2619408784994</v>
      </c>
      <c r="E291" s="14">
        <f t="shared" si="18"/>
        <v>35290.018660792295</v>
      </c>
      <c r="F291" s="14">
        <f t="shared" si="19"/>
        <v>2614.6712257923646</v>
      </c>
      <c r="H291" s="16"/>
      <c r="I291" s="16"/>
    </row>
    <row r="292" spans="1:9">
      <c r="A292" s="18">
        <v>288</v>
      </c>
      <c r="B292" s="19">
        <f t="shared" si="16"/>
        <v>35290.018660792295</v>
      </c>
      <c r="C292" s="145">
        <f>B292*'Saisie, cash-flow, rendement'!H$16</f>
        <v>188.61597700139356</v>
      </c>
      <c r="D292" s="19">
        <f t="shared" si="17"/>
        <v>2817.2619408784994</v>
      </c>
      <c r="E292" s="19">
        <f t="shared" si="18"/>
        <v>32661.372696915187</v>
      </c>
      <c r="F292" s="19">
        <f t="shared" si="19"/>
        <v>2628.6459638771084</v>
      </c>
      <c r="G292" s="18" t="s">
        <v>42</v>
      </c>
      <c r="H292" s="20">
        <f>SUM(C281:C292)</f>
        <v>3169.5735591915027</v>
      </c>
      <c r="I292" s="20">
        <f>SUM(F281:F292)</f>
        <v>30637.569731350497</v>
      </c>
    </row>
    <row r="293" spans="1:9">
      <c r="A293" s="9">
        <v>289</v>
      </c>
      <c r="B293" s="14">
        <f t="shared" si="16"/>
        <v>32661.372696915187</v>
      </c>
      <c r="C293" s="145">
        <f>B293*'Saisie, cash-flow, rendement'!H$16</f>
        <v>174.56654757396464</v>
      </c>
      <c r="D293" s="14">
        <f t="shared" si="17"/>
        <v>2817.2619408784994</v>
      </c>
      <c r="E293" s="14">
        <f t="shared" si="18"/>
        <v>30018.67730361065</v>
      </c>
      <c r="F293" s="14">
        <f t="shared" si="19"/>
        <v>2642.695393304537</v>
      </c>
      <c r="H293" s="16"/>
      <c r="I293" s="16"/>
    </row>
    <row r="294" spans="1:9">
      <c r="A294" s="9">
        <v>290</v>
      </c>
      <c r="B294" s="14">
        <f t="shared" si="16"/>
        <v>30018.67730361065</v>
      </c>
      <c r="C294" s="145">
        <f>B294*'Saisie, cash-flow, rendement'!H$16</f>
        <v>160.4420275980371</v>
      </c>
      <c r="D294" s="14">
        <f t="shared" si="17"/>
        <v>2817.2619408784994</v>
      </c>
      <c r="E294" s="14">
        <f t="shared" si="18"/>
        <v>27361.857390330188</v>
      </c>
      <c r="F294" s="14">
        <f t="shared" si="19"/>
        <v>2656.8199132804621</v>
      </c>
      <c r="H294" s="16"/>
      <c r="I294" s="16"/>
    </row>
    <row r="295" spans="1:9">
      <c r="A295" s="9">
        <v>291</v>
      </c>
      <c r="B295" s="14">
        <f t="shared" ref="B295:B304" si="20">E294</f>
        <v>27361.857390330188</v>
      </c>
      <c r="C295" s="145">
        <f>B295*'Saisie, cash-flow, rendement'!H$16</f>
        <v>146.24201573414703</v>
      </c>
      <c r="D295" s="14">
        <f t="shared" ref="D295:D304" si="21">D294</f>
        <v>2817.2619408784994</v>
      </c>
      <c r="E295" s="14">
        <f t="shared" ref="E295:E304" si="22">B295+C295-D295</f>
        <v>24690.837465185836</v>
      </c>
      <c r="F295" s="14">
        <f t="shared" ref="F295:F304" si="23">B295-E295</f>
        <v>2671.0199251443519</v>
      </c>
      <c r="H295" s="16"/>
      <c r="I295" s="16"/>
    </row>
    <row r="296" spans="1:9">
      <c r="A296" s="9">
        <v>292</v>
      </c>
      <c r="B296" s="14">
        <f t="shared" si="20"/>
        <v>24690.837465185836</v>
      </c>
      <c r="C296" s="145">
        <f>B296*'Saisie, cash-flow, rendement'!H$16</f>
        <v>131.96610849777551</v>
      </c>
      <c r="D296" s="14">
        <f t="shared" si="21"/>
        <v>2817.2619408784994</v>
      </c>
      <c r="E296" s="14">
        <f t="shared" si="22"/>
        <v>22005.541632805111</v>
      </c>
      <c r="F296" s="14">
        <f t="shared" si="23"/>
        <v>2685.2958323807252</v>
      </c>
      <c r="H296" s="16"/>
      <c r="I296" s="16"/>
    </row>
    <row r="297" spans="1:9">
      <c r="A297" s="9">
        <v>293</v>
      </c>
      <c r="B297" s="14">
        <f t="shared" si="20"/>
        <v>22005.541632805111</v>
      </c>
      <c r="C297" s="145">
        <f>B297*'Saisie, cash-flow, rendement'!H$16</f>
        <v>117.61390024788365</v>
      </c>
      <c r="D297" s="14">
        <f t="shared" si="21"/>
        <v>2817.2619408784994</v>
      </c>
      <c r="E297" s="14">
        <f t="shared" si="22"/>
        <v>19305.893592174496</v>
      </c>
      <c r="F297" s="14">
        <f t="shared" si="23"/>
        <v>2699.6480406306146</v>
      </c>
      <c r="H297" s="16"/>
      <c r="I297" s="16"/>
    </row>
    <row r="298" spans="1:9">
      <c r="A298" s="9">
        <v>294</v>
      </c>
      <c r="B298" s="14">
        <f t="shared" si="20"/>
        <v>19305.893592174496</v>
      </c>
      <c r="C298" s="145">
        <f>B298*'Saisie, cash-flow, rendement'!H$16</f>
        <v>103.18498317538672</v>
      </c>
      <c r="D298" s="14">
        <f t="shared" si="21"/>
        <v>2817.2619408784994</v>
      </c>
      <c r="E298" s="14">
        <f t="shared" si="22"/>
        <v>16591.816634471383</v>
      </c>
      <c r="F298" s="14">
        <f t="shared" si="23"/>
        <v>2714.0769577031133</v>
      </c>
      <c r="H298" s="16"/>
      <c r="I298" s="16"/>
    </row>
    <row r="299" spans="1:9">
      <c r="A299" s="9">
        <v>295</v>
      </c>
      <c r="B299" s="14">
        <f t="shared" si="20"/>
        <v>16591.816634471383</v>
      </c>
      <c r="C299" s="145">
        <f>B299*'Saisie, cash-flow, rendement'!H$16</f>
        <v>88.678947291566374</v>
      </c>
      <c r="D299" s="14">
        <f t="shared" si="21"/>
        <v>2817.2619408784994</v>
      </c>
      <c r="E299" s="14">
        <f t="shared" si="22"/>
        <v>13863.233640884449</v>
      </c>
      <c r="F299" s="14">
        <f t="shared" si="23"/>
        <v>2728.5829935869333</v>
      </c>
      <c r="H299" s="16"/>
      <c r="I299" s="16"/>
    </row>
    <row r="300" spans="1:9">
      <c r="A300" s="9">
        <v>296</v>
      </c>
      <c r="B300" s="14">
        <f t="shared" si="20"/>
        <v>13863.233640884449</v>
      </c>
      <c r="C300" s="145">
        <f>B300*'Saisie, cash-flow, rendement'!H$16</f>
        <v>74.095380416421165</v>
      </c>
      <c r="D300" s="14">
        <f t="shared" si="21"/>
        <v>2817.2619408784994</v>
      </c>
      <c r="E300" s="14">
        <f t="shared" si="22"/>
        <v>11120.067080422372</v>
      </c>
      <c r="F300" s="14">
        <f t="shared" si="23"/>
        <v>2743.1665604620775</v>
      </c>
      <c r="H300" s="16"/>
      <c r="I300" s="16"/>
    </row>
    <row r="301" spans="1:9">
      <c r="A301" s="9">
        <v>297</v>
      </c>
      <c r="B301" s="14">
        <f t="shared" si="20"/>
        <v>11120.067080422372</v>
      </c>
      <c r="C301" s="145">
        <f>B301*'Saisie, cash-flow, rendement'!H$16</f>
        <v>59.433868166954682</v>
      </c>
      <c r="D301" s="14">
        <f t="shared" si="21"/>
        <v>2817.2619408784994</v>
      </c>
      <c r="E301" s="14">
        <f t="shared" si="22"/>
        <v>8362.2390077108266</v>
      </c>
      <c r="F301" s="14">
        <f t="shared" si="23"/>
        <v>2757.8280727115452</v>
      </c>
      <c r="H301" s="16"/>
      <c r="I301" s="16"/>
    </row>
    <row r="302" spans="1:9">
      <c r="A302" s="9">
        <v>298</v>
      </c>
      <c r="B302" s="14">
        <f t="shared" si="20"/>
        <v>8362.2390077108266</v>
      </c>
      <c r="C302" s="145">
        <f>B302*'Saisie, cash-flow, rendement'!H$16</f>
        <v>44.693993945401061</v>
      </c>
      <c r="D302" s="14">
        <f t="shared" si="21"/>
        <v>2817.2619408784994</v>
      </c>
      <c r="E302" s="14">
        <f t="shared" si="22"/>
        <v>5589.6710607777277</v>
      </c>
      <c r="F302" s="14">
        <f t="shared" si="23"/>
        <v>2772.5679469330989</v>
      </c>
      <c r="H302" s="16"/>
      <c r="I302" s="16"/>
    </row>
    <row r="303" spans="1:9">
      <c r="A303" s="9">
        <v>299</v>
      </c>
      <c r="B303" s="14">
        <f t="shared" si="20"/>
        <v>5589.6710607777277</v>
      </c>
      <c r="C303" s="145">
        <f>B303*'Saisie, cash-flow, rendement'!H$16</f>
        <v>29.87533892738772</v>
      </c>
      <c r="D303" s="14">
        <f t="shared" si="21"/>
        <v>2817.2619408784994</v>
      </c>
      <c r="E303" s="14">
        <f t="shared" si="22"/>
        <v>2802.2844588266162</v>
      </c>
      <c r="F303" s="14">
        <f t="shared" si="23"/>
        <v>2787.3866019511115</v>
      </c>
      <c r="H303" s="16"/>
      <c r="I303" s="16"/>
    </row>
    <row r="304" spans="1:9">
      <c r="A304" s="18">
        <v>300</v>
      </c>
      <c r="B304" s="19">
        <f t="shared" si="20"/>
        <v>2802.2844588266162</v>
      </c>
      <c r="C304" s="145">
        <f>B304*'Saisie, cash-flow, rendement'!H$16</f>
        <v>14.977482050034627</v>
      </c>
      <c r="D304" s="19">
        <f t="shared" si="21"/>
        <v>2817.2619408784994</v>
      </c>
      <c r="E304" s="19">
        <f t="shared" si="22"/>
        <v>-1.8485479813534766E-9</v>
      </c>
      <c r="F304" s="19">
        <f t="shared" si="23"/>
        <v>2802.2844588284647</v>
      </c>
      <c r="G304" s="18" t="s">
        <v>43</v>
      </c>
      <c r="H304" s="20">
        <f>SUM(C293:C304)</f>
        <v>1145.7705936249602</v>
      </c>
      <c r="I304" s="20">
        <f>SUM(F293:F304)</f>
        <v>32661.372696917031</v>
      </c>
    </row>
    <row r="305" spans="8:9">
      <c r="H305" s="16"/>
      <c r="I305" s="16"/>
    </row>
    <row r="306" spans="8:9">
      <c r="H306" s="16"/>
      <c r="I306" s="16"/>
    </row>
    <row r="307" spans="8:9">
      <c r="H307" s="16"/>
      <c r="I307" s="16"/>
    </row>
    <row r="308" spans="8:9">
      <c r="H308" s="16"/>
      <c r="I308" s="16"/>
    </row>
    <row r="309" spans="8:9">
      <c r="H309" s="16"/>
      <c r="I309" s="16"/>
    </row>
    <row r="310" spans="8:9">
      <c r="H310" s="16"/>
      <c r="I310" s="16"/>
    </row>
    <row r="311" spans="8:9">
      <c r="H311" s="16"/>
      <c r="I311" s="16"/>
    </row>
    <row r="312" spans="8:9">
      <c r="H312" s="16"/>
      <c r="I312" s="16"/>
    </row>
    <row r="313" spans="8:9">
      <c r="H313" s="16"/>
      <c r="I313" s="16"/>
    </row>
    <row r="314" spans="8:9">
      <c r="H314" s="16"/>
      <c r="I314" s="16"/>
    </row>
    <row r="315" spans="8:9">
      <c r="H315" s="16"/>
      <c r="I315" s="16"/>
    </row>
    <row r="316" spans="8:9">
      <c r="H316" s="16"/>
      <c r="I316" s="16"/>
    </row>
    <row r="317" spans="8:9">
      <c r="H317" s="16"/>
      <c r="I317" s="16"/>
    </row>
    <row r="318" spans="8:9">
      <c r="H318" s="16"/>
      <c r="I318" s="16"/>
    </row>
    <row r="319" spans="8:9">
      <c r="H319" s="16"/>
      <c r="I319" s="16"/>
    </row>
    <row r="320" spans="8:9">
      <c r="H320" s="16"/>
      <c r="I320" s="16"/>
    </row>
    <row r="321" spans="8:9">
      <c r="H321" s="16"/>
      <c r="I321" s="16"/>
    </row>
    <row r="322" spans="8:9">
      <c r="H322" s="16"/>
      <c r="I322" s="16"/>
    </row>
    <row r="323" spans="8:9">
      <c r="H323" s="16"/>
      <c r="I323" s="16"/>
    </row>
    <row r="324" spans="8:9">
      <c r="H324" s="16"/>
      <c r="I324" s="16"/>
    </row>
  </sheetData>
  <sheetProtection password="C013" sheet="1" objects="1" scenarios="1" formatCells="0" formatColumns="0" formatRows="0" insertColumns="0" insertRows="0"/>
  <phoneticPr fontId="2" type="noConversion"/>
  <pageMargins left="0.78740157499999996" right="0.78740157499999996" top="0.984251969" bottom="0.984251969" header="0.5" footer="0.5"/>
  <pageSetup orientation="portrait"/>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2:A5"/>
    </sheetView>
  </sheetViews>
  <sheetFormatPr baseColWidth="10" defaultRowHeight="12" x14ac:dyDescent="0"/>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Avertissement et instructions</vt:lpstr>
      <vt:lpstr>Saisie, cash-flow, rendement</vt:lpstr>
      <vt:lpstr>Calcul de couverture dette</vt:lpstr>
      <vt:lpstr>Calculs hypothécaires</vt:lpstr>
      <vt:lpstr>Feuil1</vt:lpstr>
      <vt:lpstr>Feuil2</vt:lpstr>
      <vt:lpstr>Feuil3</vt:lpstr>
    </vt:vector>
  </TitlesOfParts>
  <Manager/>
  <Company>Blogue Jeune investisseur immobilier</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PLEX V2.0</dc:title>
  <dc:subject>Analyse financière d'un immeuble locatif</dc:subject>
  <dc:creator>Steve Forget</dc:creator>
  <cp:keywords/>
  <dc:description/>
  <cp:lastModifiedBy>Steve Forget</cp:lastModifiedBy>
  <cp:lastPrinted>2014-04-27T15:27:32Z</cp:lastPrinted>
  <dcterms:created xsi:type="dcterms:W3CDTF">2006-09-26T23:00:05Z</dcterms:created>
  <dcterms:modified xsi:type="dcterms:W3CDTF">2015-03-08T00:00:11Z</dcterms:modified>
  <cp:category/>
</cp:coreProperties>
</file>