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75" windowWidth="20115" windowHeight="7995"/>
  </bookViews>
  <sheets>
    <sheet name="LOUER OU ACHETER" sheetId="6" r:id="rId1"/>
    <sheet name="TABLEAU COMPARATIF" sheetId="4" r:id="rId2"/>
    <sheet name="DONNÉES HYPOTHÉCAIRES" sheetId="5" r:id="rId3"/>
    <sheet name="HYPOTHÈSES" sheetId="7" r:id="rId4"/>
  </sheets>
  <definedNames>
    <definedName name="AUGMENTATION_LOYER">'LOUER OU ACHETER'!$D$6</definedName>
    <definedName name="AUTRES_FRAIS">'LOUER OU ACHETER'!$D$31</definedName>
    <definedName name="COMMISSION">'LOUER OU ACHETER'!$D$25</definedName>
    <definedName name="DEMARRAGE">'LOUER OU ACHETER'!$D$23</definedName>
    <definedName name="FRAIS_CONDO">'LOUER OU ACHETER'!$D$29</definedName>
    <definedName name="FRAIS_COPROPRIO">'LOUER OU ACHETER'!$D$29</definedName>
    <definedName name="INFLATION">'LOUER OU ACHETER'!$D$33</definedName>
    <definedName name="INTERET_MOIS">'DONNÉES HYPOTHÉCAIRES'!$C$6</definedName>
    <definedName name="LOYER">'LOUER OU ACHETER'!$D$4</definedName>
    <definedName name="MISE_FONDS">'LOUER OU ACHETER'!$D$15</definedName>
    <definedName name="NB_ANNEES">'LOUER OU ACHETER'!$D$17</definedName>
    <definedName name="NB_MOIS">'DONNÉES HYPOTHÉCAIRES'!$C$15</definedName>
    <definedName name="PRET_ANNEES">'LOUER OU ACHETER'!$D$17</definedName>
    <definedName name="PRET_AVANT_INTERET">'DONNÉES HYPOTHÉCAIRES'!$C$12</definedName>
    <definedName name="PRET_INTERET">'LOUER OU ACHETER'!$D$19</definedName>
    <definedName name="PRIX">'LOUER OU ACHETER'!$D$13</definedName>
    <definedName name="RATIO_PRIX_PRET">'DONNÉES HYPOTHÉCAIRES'!$C$23</definedName>
    <definedName name="RENDEMENT_BOURSE">'LOUER OU ACHETER'!$D$8</definedName>
    <definedName name="RENDEMENT_IMMO">'LOUER OU ACHETER'!$D$27</definedName>
    <definedName name="SCHL">'DONNÉES HYPOTHÉCAIRES'!$C$30</definedName>
    <definedName name="SOLDE0">'DONNÉES HYPOTHÉCAIRES'!$L$3</definedName>
    <definedName name="SOLDE1">'DONNÉES HYPOTHÉCAIRES'!$L$15</definedName>
    <definedName name="SOLDE10">'DONNÉES HYPOTHÉCAIRES'!$L$123</definedName>
    <definedName name="SOLDE11">'DONNÉES HYPOTHÉCAIRES'!$L$135</definedName>
    <definedName name="SOLDE12">'DONNÉES HYPOTHÉCAIRES'!$L$147</definedName>
    <definedName name="SOLDE13">'DONNÉES HYPOTHÉCAIRES'!$L$159</definedName>
    <definedName name="SOLDE14">'DONNÉES HYPOTHÉCAIRES'!$L$171</definedName>
    <definedName name="SOLDE15">'DONNÉES HYPOTHÉCAIRES'!$L$183</definedName>
    <definedName name="SOLDE16">'DONNÉES HYPOTHÉCAIRES'!$L$195</definedName>
    <definedName name="SOLDE17">'DONNÉES HYPOTHÉCAIRES'!$L$207</definedName>
    <definedName name="SOLDE18">'DONNÉES HYPOTHÉCAIRES'!$L$219</definedName>
    <definedName name="SOLDE19">'DONNÉES HYPOTHÉCAIRES'!$L$231</definedName>
    <definedName name="SOLDE2">'DONNÉES HYPOTHÉCAIRES'!$L$27</definedName>
    <definedName name="SOLDE20">'DONNÉES HYPOTHÉCAIRES'!$L$243</definedName>
    <definedName name="SOLDE21">'DONNÉES HYPOTHÉCAIRES'!$L$255</definedName>
    <definedName name="SOLDE22">'DONNÉES HYPOTHÉCAIRES'!$L$267</definedName>
    <definedName name="SOLDE23">'DONNÉES HYPOTHÉCAIRES'!$L$279</definedName>
    <definedName name="SOLDE24">'DONNÉES HYPOTHÉCAIRES'!$L$291</definedName>
    <definedName name="SOLDE25">'DONNÉES HYPOTHÉCAIRES'!$L$303</definedName>
    <definedName name="SOLDE3">'DONNÉES HYPOTHÉCAIRES'!$L$39</definedName>
    <definedName name="SOLDE4">'DONNÉES HYPOTHÉCAIRES'!$L$51</definedName>
    <definedName name="SOLDE5">'DONNÉES HYPOTHÉCAIRES'!$L$63</definedName>
    <definedName name="SOLDE6">'DONNÉES HYPOTHÉCAIRES'!$L$75</definedName>
    <definedName name="SOLDE7">'DONNÉES HYPOTHÉCAIRES'!$L$87</definedName>
    <definedName name="SOLDE8">'DONNÉES HYPOTHÉCAIRES'!$L$99</definedName>
    <definedName name="SOLDE9">'DONNÉES HYPOTHÉCAIRES'!$L$111</definedName>
    <definedName name="TAXES">'LOUER OU ACHETER'!$D$21</definedName>
    <definedName name="VERSEMENT_MENSUEL">'DONNÉES HYPOTHÉCAIRES'!$C$16</definedName>
  </definedNames>
  <calcPr calcId="145621"/>
</workbook>
</file>

<file path=xl/calcChain.xml><?xml version="1.0" encoding="utf-8"?>
<calcChain xmlns="http://schemas.openxmlformats.org/spreadsheetml/2006/main">
  <c r="R5" i="4" l="1"/>
  <c r="R4" i="4"/>
  <c r="B7" i="7" l="1"/>
  <c r="B6" i="7"/>
  <c r="B5" i="7"/>
  <c r="C20" i="5"/>
  <c r="C19" i="5"/>
  <c r="C22" i="5" l="1"/>
  <c r="C21" i="5"/>
  <c r="I30" i="4"/>
  <c r="I31" i="4"/>
  <c r="I32" i="4"/>
  <c r="I33" i="4"/>
  <c r="I34" i="4"/>
  <c r="C15" i="5"/>
  <c r="C10" i="5"/>
  <c r="C9" i="5"/>
  <c r="C23" i="5" l="1"/>
  <c r="O4" i="4"/>
  <c r="C30" i="5" l="1"/>
  <c r="C11" i="5" s="1"/>
  <c r="C12" i="5" s="1"/>
  <c r="C3" i="5"/>
  <c r="K3" i="5" l="1"/>
  <c r="L3" i="5" s="1"/>
  <c r="P4" i="4" s="1"/>
  <c r="N4" i="4"/>
  <c r="Q4" i="4" s="1"/>
  <c r="L5" i="4"/>
  <c r="L6" i="4" s="1"/>
  <c r="L7" i="4" s="1"/>
  <c r="L8" i="4" s="1"/>
  <c r="L9" i="4" s="1"/>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K5" i="4"/>
  <c r="K6" i="4" s="1"/>
  <c r="K7" i="4" s="1"/>
  <c r="K8" i="4" s="1"/>
  <c r="K9" i="4" s="1"/>
  <c r="K10" i="4" s="1"/>
  <c r="K11" i="4" s="1"/>
  <c r="K12" i="4" s="1"/>
  <c r="K13" i="4" s="1"/>
  <c r="K14" i="4" s="1"/>
  <c r="K15" i="4" s="1"/>
  <c r="K16" i="4" s="1"/>
  <c r="K17" i="4" s="1"/>
  <c r="K18" i="4" s="1"/>
  <c r="K19" i="4" s="1"/>
  <c r="K20" i="4" s="1"/>
  <c r="K21" i="4" s="1"/>
  <c r="K22" i="4" s="1"/>
  <c r="K23" i="4" s="1"/>
  <c r="K24" i="4" s="1"/>
  <c r="K25" i="4" s="1"/>
  <c r="K26" i="4" s="1"/>
  <c r="K27" i="4" s="1"/>
  <c r="K28" i="4" s="1"/>
  <c r="K29" i="4" s="1"/>
  <c r="K30" i="4" s="1"/>
  <c r="K31" i="4" s="1"/>
  <c r="K32" i="4" s="1"/>
  <c r="K33" i="4" s="1"/>
  <c r="K34" i="4" s="1"/>
  <c r="J5" i="4"/>
  <c r="J6"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D26" i="4" s="1"/>
  <c r="D27" i="4" s="1"/>
  <c r="C4" i="4"/>
  <c r="G4" i="4" s="1"/>
  <c r="B5" i="4"/>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C4" i="5"/>
  <c r="C5" i="5" s="1"/>
  <c r="C6" i="5" s="1"/>
  <c r="C13" i="5" s="1"/>
  <c r="C14" i="5" s="1"/>
  <c r="C16" i="5" s="1"/>
  <c r="J7" i="4" l="1"/>
  <c r="J8" i="4" s="1"/>
  <c r="J9" i="4" s="1"/>
  <c r="J10" i="4" s="1"/>
  <c r="J11" i="4" s="1"/>
  <c r="J12" i="4" s="1"/>
  <c r="J13" i="4" s="1"/>
  <c r="J14" i="4" s="1"/>
  <c r="J15" i="4" s="1"/>
  <c r="J16" i="4" s="1"/>
  <c r="J17" i="4" s="1"/>
  <c r="J18" i="4" s="1"/>
  <c r="J19" i="4" s="1"/>
  <c r="J20" i="4" s="1"/>
  <c r="J21" i="4" s="1"/>
  <c r="J22" i="4" s="1"/>
  <c r="J23" i="4" s="1"/>
  <c r="J24" i="4" s="1"/>
  <c r="J25" i="4" s="1"/>
  <c r="J26" i="4" s="1"/>
  <c r="J27" i="4" s="1"/>
  <c r="J28" i="4" s="1"/>
  <c r="J29" i="4" s="1"/>
  <c r="J30" i="4" s="1"/>
  <c r="J31" i="4" s="1"/>
  <c r="J32" i="4" s="1"/>
  <c r="J33" i="4" s="1"/>
  <c r="J34" i="4" s="1"/>
  <c r="I6" i="4"/>
  <c r="M6" i="4" s="1"/>
  <c r="E6" i="4" s="1"/>
  <c r="I8" i="4"/>
  <c r="I10" i="4"/>
  <c r="I12" i="4"/>
  <c r="I14" i="4"/>
  <c r="I16" i="4"/>
  <c r="I18" i="4"/>
  <c r="I20" i="4"/>
  <c r="I22" i="4"/>
  <c r="I24" i="4"/>
  <c r="I26" i="4"/>
  <c r="I28" i="4"/>
  <c r="F15" i="5"/>
  <c r="F17" i="5"/>
  <c r="F19" i="5"/>
  <c r="F21" i="5"/>
  <c r="F23" i="5"/>
  <c r="F25" i="5"/>
  <c r="F27" i="5"/>
  <c r="F29" i="5"/>
  <c r="F31" i="5"/>
  <c r="F33" i="5"/>
  <c r="F35" i="5"/>
  <c r="F37" i="5"/>
  <c r="F39" i="5"/>
  <c r="F41" i="5"/>
  <c r="F43" i="5"/>
  <c r="F45" i="5"/>
  <c r="F47" i="5"/>
  <c r="F49" i="5"/>
  <c r="F51" i="5"/>
  <c r="F53" i="5"/>
  <c r="F55" i="5"/>
  <c r="F57" i="5"/>
  <c r="F59" i="5"/>
  <c r="F61" i="5"/>
  <c r="F63" i="5"/>
  <c r="F65" i="5"/>
  <c r="F67" i="5"/>
  <c r="F69" i="5"/>
  <c r="F71" i="5"/>
  <c r="F73" i="5"/>
  <c r="F75" i="5"/>
  <c r="F77" i="5"/>
  <c r="F79" i="5"/>
  <c r="F81" i="5"/>
  <c r="F83" i="5"/>
  <c r="F85" i="5"/>
  <c r="F87" i="5"/>
  <c r="F89" i="5"/>
  <c r="F91" i="5"/>
  <c r="F93" i="5"/>
  <c r="F95" i="5"/>
  <c r="F97" i="5"/>
  <c r="F99" i="5"/>
  <c r="F101" i="5"/>
  <c r="F103" i="5"/>
  <c r="F105" i="5"/>
  <c r="F107" i="5"/>
  <c r="F109" i="5"/>
  <c r="F111" i="5"/>
  <c r="F113" i="5"/>
  <c r="F115" i="5"/>
  <c r="F117" i="5"/>
  <c r="F119" i="5"/>
  <c r="F121" i="5"/>
  <c r="F123" i="5"/>
  <c r="F125" i="5"/>
  <c r="F127" i="5"/>
  <c r="F129" i="5"/>
  <c r="F131" i="5"/>
  <c r="F133" i="5"/>
  <c r="F135" i="5"/>
  <c r="F137" i="5"/>
  <c r="F139" i="5"/>
  <c r="F141" i="5"/>
  <c r="F143" i="5"/>
  <c r="F145" i="5"/>
  <c r="F147" i="5"/>
  <c r="F149" i="5"/>
  <c r="F151" i="5"/>
  <c r="F153" i="5"/>
  <c r="F155" i="5"/>
  <c r="F157" i="5"/>
  <c r="F159" i="5"/>
  <c r="I7" i="4"/>
  <c r="I9" i="4"/>
  <c r="I11" i="4"/>
  <c r="I13" i="4"/>
  <c r="I15" i="4"/>
  <c r="I17" i="4"/>
  <c r="I19" i="4"/>
  <c r="I21" i="4"/>
  <c r="I23" i="4"/>
  <c r="I25" i="4"/>
  <c r="I27" i="4"/>
  <c r="I29" i="4"/>
  <c r="I5" i="4"/>
  <c r="M5" i="4" s="1"/>
  <c r="F16" i="5"/>
  <c r="F18" i="5"/>
  <c r="F20" i="5"/>
  <c r="F22" i="5"/>
  <c r="F24" i="5"/>
  <c r="F26" i="5"/>
  <c r="F28" i="5"/>
  <c r="F30" i="5"/>
  <c r="F32" i="5"/>
  <c r="F34" i="5"/>
  <c r="F36" i="5"/>
  <c r="F38" i="5"/>
  <c r="F40" i="5"/>
  <c r="F42" i="5"/>
  <c r="F44" i="5"/>
  <c r="F46" i="5"/>
  <c r="F48" i="5"/>
  <c r="F50" i="5"/>
  <c r="F52" i="5"/>
  <c r="F54" i="5"/>
  <c r="F56" i="5"/>
  <c r="F58" i="5"/>
  <c r="F60" i="5"/>
  <c r="F62" i="5"/>
  <c r="F64" i="5"/>
  <c r="F66" i="5"/>
  <c r="F68" i="5"/>
  <c r="F70" i="5"/>
  <c r="F72" i="5"/>
  <c r="F74" i="5"/>
  <c r="F76" i="5"/>
  <c r="F78" i="5"/>
  <c r="F80" i="5"/>
  <c r="F82" i="5"/>
  <c r="F84" i="5"/>
  <c r="F86" i="5"/>
  <c r="F88" i="5"/>
  <c r="F90" i="5"/>
  <c r="F92" i="5"/>
  <c r="F94" i="5"/>
  <c r="F96" i="5"/>
  <c r="F98" i="5"/>
  <c r="F100" i="5"/>
  <c r="F102" i="5"/>
  <c r="F104" i="5"/>
  <c r="F106" i="5"/>
  <c r="F108" i="5"/>
  <c r="F110" i="5"/>
  <c r="F112" i="5"/>
  <c r="F114" i="5"/>
  <c r="F116" i="5"/>
  <c r="F118" i="5"/>
  <c r="F120" i="5"/>
  <c r="F122" i="5"/>
  <c r="F124" i="5"/>
  <c r="F126" i="5"/>
  <c r="F128" i="5"/>
  <c r="F130" i="5"/>
  <c r="F132" i="5"/>
  <c r="F134" i="5"/>
  <c r="F136" i="5"/>
  <c r="F138" i="5"/>
  <c r="F140" i="5"/>
  <c r="F142" i="5"/>
  <c r="F144" i="5"/>
  <c r="F146" i="5"/>
  <c r="F148" i="5"/>
  <c r="F150" i="5"/>
  <c r="F152" i="5"/>
  <c r="F154" i="5"/>
  <c r="F156" i="5"/>
  <c r="F158" i="5"/>
  <c r="F161" i="5"/>
  <c r="F163" i="5"/>
  <c r="F165" i="5"/>
  <c r="F167" i="5"/>
  <c r="F169" i="5"/>
  <c r="F171" i="5"/>
  <c r="F173" i="5"/>
  <c r="F175" i="5"/>
  <c r="F177" i="5"/>
  <c r="F179" i="5"/>
  <c r="F181" i="5"/>
  <c r="F183" i="5"/>
  <c r="F185" i="5"/>
  <c r="F187" i="5"/>
  <c r="F189" i="5"/>
  <c r="F191" i="5"/>
  <c r="F193" i="5"/>
  <c r="F195" i="5"/>
  <c r="F197" i="5"/>
  <c r="F199" i="5"/>
  <c r="F201" i="5"/>
  <c r="F203" i="5"/>
  <c r="F205" i="5"/>
  <c r="F207" i="5"/>
  <c r="F209" i="5"/>
  <c r="F211" i="5"/>
  <c r="F213" i="5"/>
  <c r="F215" i="5"/>
  <c r="F217" i="5"/>
  <c r="F219" i="5"/>
  <c r="F221" i="5"/>
  <c r="F223" i="5"/>
  <c r="F225" i="5"/>
  <c r="F227" i="5"/>
  <c r="F229" i="5"/>
  <c r="F231" i="5"/>
  <c r="F233" i="5"/>
  <c r="F235" i="5"/>
  <c r="F237" i="5"/>
  <c r="F239" i="5"/>
  <c r="F241" i="5"/>
  <c r="F243" i="5"/>
  <c r="F245" i="5"/>
  <c r="F247" i="5"/>
  <c r="F249" i="5"/>
  <c r="F251" i="5"/>
  <c r="F253" i="5"/>
  <c r="F255" i="5"/>
  <c r="F257" i="5"/>
  <c r="F259" i="5"/>
  <c r="F261" i="5"/>
  <c r="F263" i="5"/>
  <c r="F265" i="5"/>
  <c r="F267" i="5"/>
  <c r="F269" i="5"/>
  <c r="F271" i="5"/>
  <c r="F273" i="5"/>
  <c r="F275" i="5"/>
  <c r="F277" i="5"/>
  <c r="F279" i="5"/>
  <c r="F281" i="5"/>
  <c r="F283" i="5"/>
  <c r="F285" i="5"/>
  <c r="F287" i="5"/>
  <c r="F289" i="5"/>
  <c r="F291" i="5"/>
  <c r="F293" i="5"/>
  <c r="F295" i="5"/>
  <c r="F297" i="5"/>
  <c r="F299" i="5"/>
  <c r="F301" i="5"/>
  <c r="F303" i="5"/>
  <c r="F6" i="5"/>
  <c r="F8" i="5"/>
  <c r="F10" i="5"/>
  <c r="F12" i="5"/>
  <c r="F14" i="5"/>
  <c r="F160" i="5"/>
  <c r="F162" i="5"/>
  <c r="F164" i="5"/>
  <c r="F166" i="5"/>
  <c r="F168" i="5"/>
  <c r="F170" i="5"/>
  <c r="F172" i="5"/>
  <c r="F174" i="5"/>
  <c r="F176" i="5"/>
  <c r="F178" i="5"/>
  <c r="F180" i="5"/>
  <c r="F182" i="5"/>
  <c r="F184" i="5"/>
  <c r="F186" i="5"/>
  <c r="F188" i="5"/>
  <c r="F190" i="5"/>
  <c r="F192" i="5"/>
  <c r="F194" i="5"/>
  <c r="F196" i="5"/>
  <c r="F198" i="5"/>
  <c r="F200" i="5"/>
  <c r="F202" i="5"/>
  <c r="F204" i="5"/>
  <c r="F206" i="5"/>
  <c r="F208" i="5"/>
  <c r="F210" i="5"/>
  <c r="F212" i="5"/>
  <c r="F214" i="5"/>
  <c r="F216" i="5"/>
  <c r="F218" i="5"/>
  <c r="F220" i="5"/>
  <c r="F222" i="5"/>
  <c r="F224" i="5"/>
  <c r="F226" i="5"/>
  <c r="F228" i="5"/>
  <c r="F230" i="5"/>
  <c r="F232" i="5"/>
  <c r="F234" i="5"/>
  <c r="F236" i="5"/>
  <c r="F238" i="5"/>
  <c r="F240" i="5"/>
  <c r="F242" i="5"/>
  <c r="F244" i="5"/>
  <c r="F246" i="5"/>
  <c r="F248" i="5"/>
  <c r="F250" i="5"/>
  <c r="F252" i="5"/>
  <c r="F254" i="5"/>
  <c r="F256" i="5"/>
  <c r="F258" i="5"/>
  <c r="F260" i="5"/>
  <c r="F262" i="5"/>
  <c r="F264" i="5"/>
  <c r="F266" i="5"/>
  <c r="F268" i="5"/>
  <c r="F270" i="5"/>
  <c r="F272" i="5"/>
  <c r="F274" i="5"/>
  <c r="F276" i="5"/>
  <c r="F278" i="5"/>
  <c r="F280" i="5"/>
  <c r="F282" i="5"/>
  <c r="F284" i="5"/>
  <c r="F286" i="5"/>
  <c r="F288" i="5"/>
  <c r="F290" i="5"/>
  <c r="F292" i="5"/>
  <c r="F294" i="5"/>
  <c r="F296" i="5"/>
  <c r="F298" i="5"/>
  <c r="F300" i="5"/>
  <c r="F302" i="5"/>
  <c r="F5" i="5"/>
  <c r="F7" i="5"/>
  <c r="F9" i="5"/>
  <c r="F11" i="5"/>
  <c r="F13" i="5"/>
  <c r="F4" i="5"/>
  <c r="G4" i="5"/>
  <c r="C5" i="4"/>
  <c r="C6" i="4" s="1"/>
  <c r="N5" i="4"/>
  <c r="N6" i="4" s="1"/>
  <c r="D28" i="4"/>
  <c r="D29" i="4" s="1"/>
  <c r="D30" i="4" s="1"/>
  <c r="D31" i="4" s="1"/>
  <c r="D32" i="4" s="1"/>
  <c r="D33" i="4" s="1"/>
  <c r="D34" i="4" s="1"/>
  <c r="U4" i="4" l="1"/>
  <c r="T4" i="4"/>
  <c r="I4" i="5"/>
  <c r="E5" i="4"/>
  <c r="O5" i="4" s="1"/>
  <c r="H4" i="5"/>
  <c r="C7" i="4"/>
  <c r="Q5" i="4"/>
  <c r="F5" i="4" l="1"/>
  <c r="G5" i="4" s="1"/>
  <c r="J4" i="5"/>
  <c r="K4" i="5"/>
  <c r="C8" i="4"/>
  <c r="N7" i="4"/>
  <c r="Q6" i="4"/>
  <c r="F6" i="4" l="1"/>
  <c r="G6" i="4" s="1"/>
  <c r="O6" i="4"/>
  <c r="C9" i="4"/>
  <c r="N8" i="4"/>
  <c r="Q7" i="4"/>
  <c r="M8" i="4"/>
  <c r="E8" i="4" s="1"/>
  <c r="M7" i="4"/>
  <c r="E7" i="4" s="1"/>
  <c r="M9" i="4"/>
  <c r="E9" i="4" s="1"/>
  <c r="F7" i="4" l="1"/>
  <c r="G7" i="4" s="1"/>
  <c r="O7" i="4"/>
  <c r="O8" i="4" s="1"/>
  <c r="O9" i="4" s="1"/>
  <c r="C10" i="4"/>
  <c r="N9" i="4"/>
  <c r="Q8" i="4"/>
  <c r="M10" i="4"/>
  <c r="E10" i="4" s="1"/>
  <c r="F8" i="4" l="1"/>
  <c r="F9" i="4" s="1"/>
  <c r="O10" i="4"/>
  <c r="C11" i="4"/>
  <c r="N10" i="4"/>
  <c r="Q9" i="4"/>
  <c r="M11" i="4"/>
  <c r="E11" i="4" s="1"/>
  <c r="G8" i="4" l="1"/>
  <c r="O11" i="4"/>
  <c r="C12" i="4"/>
  <c r="F10" i="4"/>
  <c r="G9" i="4"/>
  <c r="N11" i="4"/>
  <c r="Q10" i="4"/>
  <c r="M12" i="4"/>
  <c r="E12" i="4" s="1"/>
  <c r="O12" i="4" l="1"/>
  <c r="F11" i="4"/>
  <c r="G10" i="4"/>
  <c r="C13" i="4"/>
  <c r="N12" i="4"/>
  <c r="Q11" i="4"/>
  <c r="M13" i="4"/>
  <c r="E13" i="4" s="1"/>
  <c r="O13" i="4" l="1"/>
  <c r="C14" i="4"/>
  <c r="F12" i="4"/>
  <c r="G11" i="4"/>
  <c r="N13" i="4"/>
  <c r="Q12" i="4"/>
  <c r="M14" i="4"/>
  <c r="E14" i="4" s="1"/>
  <c r="O14" i="4" l="1"/>
  <c r="C15" i="4"/>
  <c r="F13" i="4"/>
  <c r="G12" i="4"/>
  <c r="N14" i="4"/>
  <c r="Q13" i="4"/>
  <c r="M15" i="4"/>
  <c r="E15" i="4" s="1"/>
  <c r="O15" i="4" s="1"/>
  <c r="C16" i="4" l="1"/>
  <c r="F14" i="4"/>
  <c r="G13" i="4"/>
  <c r="N15" i="4"/>
  <c r="Q14" i="4"/>
  <c r="M16" i="4"/>
  <c r="E16" i="4" s="1"/>
  <c r="O16" i="4" s="1"/>
  <c r="F15" i="4" l="1"/>
  <c r="G14" i="4"/>
  <c r="C17" i="4"/>
  <c r="N16" i="4"/>
  <c r="Q15" i="4"/>
  <c r="M17" i="4"/>
  <c r="E17" i="4" s="1"/>
  <c r="O17" i="4" s="1"/>
  <c r="C18" i="4" l="1"/>
  <c r="F16" i="4"/>
  <c r="G15" i="4"/>
  <c r="N17" i="4"/>
  <c r="Q16" i="4"/>
  <c r="M18" i="4"/>
  <c r="E18" i="4" s="1"/>
  <c r="O18" i="4" s="1"/>
  <c r="F17" i="4" l="1"/>
  <c r="G16" i="4"/>
  <c r="C19" i="4"/>
  <c r="N18" i="4"/>
  <c r="Q17" i="4"/>
  <c r="M19" i="4"/>
  <c r="E19" i="4" s="1"/>
  <c r="O19" i="4" s="1"/>
  <c r="C20" i="4" l="1"/>
  <c r="F18" i="4"/>
  <c r="G17" i="4"/>
  <c r="N19" i="4"/>
  <c r="Q18" i="4"/>
  <c r="M20" i="4"/>
  <c r="E20" i="4" s="1"/>
  <c r="O20" i="4" s="1"/>
  <c r="F19" i="4" l="1"/>
  <c r="G18" i="4"/>
  <c r="C21" i="4"/>
  <c r="N20" i="4"/>
  <c r="Q19" i="4"/>
  <c r="M21" i="4"/>
  <c r="E21" i="4" s="1"/>
  <c r="O21" i="4" s="1"/>
  <c r="C22" i="4" l="1"/>
  <c r="F20" i="4"/>
  <c r="G19" i="4"/>
  <c r="N21" i="4"/>
  <c r="Q20" i="4"/>
  <c r="M22" i="4"/>
  <c r="E22" i="4" s="1"/>
  <c r="O22" i="4" s="1"/>
  <c r="F21" i="4" l="1"/>
  <c r="G20" i="4"/>
  <c r="C23" i="4"/>
  <c r="N22" i="4"/>
  <c r="Q21" i="4"/>
  <c r="M23" i="4"/>
  <c r="E23" i="4" s="1"/>
  <c r="O23" i="4" s="1"/>
  <c r="C24" i="4" l="1"/>
  <c r="F22" i="4"/>
  <c r="G21" i="4"/>
  <c r="N23" i="4"/>
  <c r="Q22" i="4"/>
  <c r="M24" i="4"/>
  <c r="E24" i="4" s="1"/>
  <c r="O24" i="4" s="1"/>
  <c r="F23" i="4" l="1"/>
  <c r="G22" i="4"/>
  <c r="C25" i="4"/>
  <c r="N24" i="4"/>
  <c r="Q23" i="4"/>
  <c r="M25" i="4"/>
  <c r="E25" i="4" s="1"/>
  <c r="O25" i="4" s="1"/>
  <c r="C26" i="4" l="1"/>
  <c r="F24" i="4"/>
  <c r="G23" i="4"/>
  <c r="N25" i="4"/>
  <c r="Q24" i="4"/>
  <c r="M26" i="4"/>
  <c r="E26" i="4" s="1"/>
  <c r="O26" i="4" s="1"/>
  <c r="F25" i="4" l="1"/>
  <c r="G24" i="4"/>
  <c r="C27" i="4"/>
  <c r="N26" i="4"/>
  <c r="Q25" i="4"/>
  <c r="M27" i="4"/>
  <c r="E27" i="4" s="1"/>
  <c r="O27" i="4" s="1"/>
  <c r="C28" i="4" l="1"/>
  <c r="F26" i="4"/>
  <c r="G25" i="4"/>
  <c r="N27" i="4"/>
  <c r="Q26" i="4"/>
  <c r="M28" i="4"/>
  <c r="E28" i="4" s="1"/>
  <c r="O28" i="4" s="1"/>
  <c r="F27" i="4" l="1"/>
  <c r="G26" i="4"/>
  <c r="C29" i="4"/>
  <c r="N28" i="4"/>
  <c r="Q27" i="4"/>
  <c r="M29" i="4"/>
  <c r="E29" i="4" s="1"/>
  <c r="O29" i="4" s="1"/>
  <c r="F28" i="4" l="1"/>
  <c r="G27" i="4"/>
  <c r="C30" i="4"/>
  <c r="N29" i="4"/>
  <c r="Q28" i="4"/>
  <c r="M30" i="4"/>
  <c r="E30" i="4" s="1"/>
  <c r="O30" i="4" s="1"/>
  <c r="C31" i="4" l="1"/>
  <c r="F29" i="4"/>
  <c r="G28" i="4"/>
  <c r="N30" i="4"/>
  <c r="Q29" i="4"/>
  <c r="M31" i="4"/>
  <c r="E31" i="4" s="1"/>
  <c r="O31" i="4" s="1"/>
  <c r="F30" i="4" l="1"/>
  <c r="G29" i="4"/>
  <c r="C32" i="4"/>
  <c r="N31" i="4"/>
  <c r="Q30" i="4"/>
  <c r="M32" i="4"/>
  <c r="E32" i="4" s="1"/>
  <c r="O32" i="4" s="1"/>
  <c r="C33" i="4" l="1"/>
  <c r="F31" i="4"/>
  <c r="G30" i="4"/>
  <c r="R30" i="4"/>
  <c r="N32" i="4"/>
  <c r="Q31" i="4"/>
  <c r="M33" i="4"/>
  <c r="E33" i="4" s="1"/>
  <c r="O33" i="4" s="1"/>
  <c r="T30" i="4" l="1"/>
  <c r="U30" i="4"/>
  <c r="F32" i="4"/>
  <c r="G31" i="4"/>
  <c r="C34" i="4"/>
  <c r="R31" i="4"/>
  <c r="N33" i="4"/>
  <c r="Q32" i="4"/>
  <c r="M34" i="4"/>
  <c r="E34" i="4" s="1"/>
  <c r="O34" i="4" s="1"/>
  <c r="T31" i="4" l="1"/>
  <c r="U31" i="4"/>
  <c r="F33" i="4"/>
  <c r="G32" i="4"/>
  <c r="R32" i="4"/>
  <c r="N34" i="4"/>
  <c r="Q33" i="4"/>
  <c r="R33" i="4" s="1"/>
  <c r="T32" i="4" l="1"/>
  <c r="U32" i="4"/>
  <c r="F34" i="4"/>
  <c r="G34" i="4" s="1"/>
  <c r="G33" i="4"/>
  <c r="T33" i="4" s="1"/>
  <c r="Q34" i="4"/>
  <c r="R34" i="4" s="1"/>
  <c r="T34" i="4" l="1"/>
  <c r="U33" i="4"/>
  <c r="U34" i="4"/>
  <c r="G5" i="5"/>
  <c r="I5" i="5" s="1"/>
  <c r="J5" i="5" s="1"/>
  <c r="H5" i="5" l="1"/>
  <c r="K5" i="5"/>
  <c r="G6" i="5" s="1"/>
  <c r="I6" i="5" s="1"/>
  <c r="J6" i="5" s="1"/>
  <c r="K6" i="5" l="1"/>
  <c r="G7" i="5" s="1"/>
  <c r="I7" i="5" s="1"/>
  <c r="K7" i="5" s="1"/>
  <c r="H6" i="5"/>
  <c r="J7" i="5" l="1"/>
  <c r="G8" i="5"/>
  <c r="I8" i="5" s="1"/>
  <c r="K8" i="5" s="1"/>
  <c r="H7" i="5"/>
  <c r="J8" i="5" l="1"/>
  <c r="G9" i="5"/>
  <c r="I9" i="5" s="1"/>
  <c r="K9" i="5" s="1"/>
  <c r="H8" i="5"/>
  <c r="J9" i="5" l="1"/>
  <c r="G10" i="5"/>
  <c r="I10" i="5" s="1"/>
  <c r="K10" i="5" s="1"/>
  <c r="H9" i="5"/>
  <c r="J10" i="5" l="1"/>
  <c r="G11" i="5"/>
  <c r="I11" i="5" s="1"/>
  <c r="K11" i="5" s="1"/>
  <c r="H10" i="5"/>
  <c r="J11" i="5" l="1"/>
  <c r="G12" i="5"/>
  <c r="I12" i="5" s="1"/>
  <c r="K12" i="5" s="1"/>
  <c r="H11" i="5"/>
  <c r="J12" i="5" l="1"/>
  <c r="G13" i="5"/>
  <c r="I13" i="5" s="1"/>
  <c r="K13" i="5" s="1"/>
  <c r="H12" i="5"/>
  <c r="J13" i="5" l="1"/>
  <c r="G14" i="5"/>
  <c r="I14" i="5" s="1"/>
  <c r="K14" i="5" s="1"/>
  <c r="H13" i="5"/>
  <c r="J14" i="5" l="1"/>
  <c r="G15" i="5"/>
  <c r="I15" i="5" s="1"/>
  <c r="K15" i="5" s="1"/>
  <c r="H14" i="5"/>
  <c r="J15" i="5" l="1"/>
  <c r="G16" i="5"/>
  <c r="I16" i="5" s="1"/>
  <c r="L15" i="5"/>
  <c r="P5" i="4" s="1"/>
  <c r="T5" i="4" s="1"/>
  <c r="H15" i="5"/>
  <c r="U5" i="4" l="1"/>
  <c r="J16" i="5"/>
  <c r="H16" i="5"/>
  <c r="K16" i="5"/>
  <c r="G17" i="5" s="1"/>
  <c r="I17" i="5" s="1"/>
  <c r="K17" i="5" s="1"/>
  <c r="G18" i="5" l="1"/>
  <c r="I18" i="5" s="1"/>
  <c r="K18" i="5" s="1"/>
  <c r="J17" i="5"/>
  <c r="H17" i="5"/>
  <c r="J18" i="5" l="1"/>
  <c r="G19" i="5"/>
  <c r="I19" i="5" s="1"/>
  <c r="K19" i="5" s="1"/>
  <c r="H18" i="5"/>
  <c r="J19" i="5" l="1"/>
  <c r="G20" i="5"/>
  <c r="I20" i="5" s="1"/>
  <c r="K20" i="5" s="1"/>
  <c r="H19" i="5"/>
  <c r="J20" i="5" l="1"/>
  <c r="G21" i="5"/>
  <c r="I21" i="5" s="1"/>
  <c r="K21" i="5" s="1"/>
  <c r="H20" i="5"/>
  <c r="J21" i="5" l="1"/>
  <c r="G22" i="5"/>
  <c r="I22" i="5" s="1"/>
  <c r="K22" i="5" s="1"/>
  <c r="H21" i="5"/>
  <c r="J22" i="5" l="1"/>
  <c r="G23" i="5"/>
  <c r="I23" i="5" s="1"/>
  <c r="K23" i="5" s="1"/>
  <c r="H22" i="5"/>
  <c r="J23" i="5" l="1"/>
  <c r="G24" i="5"/>
  <c r="I24" i="5" s="1"/>
  <c r="K24" i="5" s="1"/>
  <c r="H23" i="5"/>
  <c r="J24" i="5" l="1"/>
  <c r="G25" i="5"/>
  <c r="I25" i="5" s="1"/>
  <c r="K25" i="5" s="1"/>
  <c r="H24" i="5"/>
  <c r="J25" i="5" l="1"/>
  <c r="G26" i="5"/>
  <c r="I26" i="5" s="1"/>
  <c r="K26" i="5" s="1"/>
  <c r="H25" i="5"/>
  <c r="J26" i="5" l="1"/>
  <c r="G27" i="5"/>
  <c r="I27" i="5" s="1"/>
  <c r="K27" i="5" s="1"/>
  <c r="H26" i="5"/>
  <c r="J27" i="5" l="1"/>
  <c r="L27" i="5"/>
  <c r="P6" i="4" s="1"/>
  <c r="R6" i="4" s="1"/>
  <c r="T6" i="4" s="1"/>
  <c r="G28" i="5"/>
  <c r="I28" i="5" s="1"/>
  <c r="K28" i="5" s="1"/>
  <c r="H27" i="5"/>
  <c r="U6" i="4" l="1"/>
  <c r="J28" i="5"/>
  <c r="H28" i="5"/>
  <c r="G29" i="5"/>
  <c r="I29" i="5" s="1"/>
  <c r="K29" i="5" s="1"/>
  <c r="G30" i="5" l="1"/>
  <c r="I30" i="5" s="1"/>
  <c r="K30" i="5" s="1"/>
  <c r="J29" i="5"/>
  <c r="H29" i="5"/>
  <c r="J30" i="5" l="1"/>
  <c r="G31" i="5"/>
  <c r="I31" i="5" s="1"/>
  <c r="K31" i="5" s="1"/>
  <c r="H30" i="5"/>
  <c r="J31" i="5" l="1"/>
  <c r="G32" i="5"/>
  <c r="I32" i="5" s="1"/>
  <c r="K32" i="5" s="1"/>
  <c r="H31" i="5"/>
  <c r="J32" i="5" l="1"/>
  <c r="G33" i="5"/>
  <c r="I33" i="5" s="1"/>
  <c r="K33" i="5" s="1"/>
  <c r="H32" i="5"/>
  <c r="J33" i="5" l="1"/>
  <c r="G34" i="5"/>
  <c r="I34" i="5" s="1"/>
  <c r="K34" i="5" s="1"/>
  <c r="H33" i="5"/>
  <c r="J34" i="5" l="1"/>
  <c r="G35" i="5"/>
  <c r="I35" i="5" s="1"/>
  <c r="K35" i="5" s="1"/>
  <c r="H34" i="5"/>
  <c r="J35" i="5" l="1"/>
  <c r="G36" i="5"/>
  <c r="I36" i="5" s="1"/>
  <c r="K36" i="5" s="1"/>
  <c r="H35" i="5"/>
  <c r="J36" i="5" l="1"/>
  <c r="G37" i="5"/>
  <c r="I37" i="5" s="1"/>
  <c r="K37" i="5" s="1"/>
  <c r="H36" i="5"/>
  <c r="J37" i="5" l="1"/>
  <c r="G38" i="5"/>
  <c r="I38" i="5" s="1"/>
  <c r="K38" i="5" s="1"/>
  <c r="H37" i="5"/>
  <c r="J38" i="5" l="1"/>
  <c r="G39" i="5"/>
  <c r="I39" i="5" s="1"/>
  <c r="K39" i="5" s="1"/>
  <c r="H38" i="5"/>
  <c r="J39" i="5" l="1"/>
  <c r="L39" i="5"/>
  <c r="P7" i="4" s="1"/>
  <c r="R7" i="4" s="1"/>
  <c r="T7" i="4" s="1"/>
  <c r="G40" i="5"/>
  <c r="I40" i="5" s="1"/>
  <c r="K40" i="5" s="1"/>
  <c r="H39" i="5"/>
  <c r="U7" i="4" l="1"/>
  <c r="J40" i="5"/>
  <c r="H40" i="5"/>
  <c r="G41" i="5"/>
  <c r="I41" i="5" s="1"/>
  <c r="K41" i="5" s="1"/>
  <c r="G42" i="5" l="1"/>
  <c r="I42" i="5" s="1"/>
  <c r="K42" i="5" s="1"/>
  <c r="J41" i="5"/>
  <c r="H41" i="5"/>
  <c r="J42" i="5" l="1"/>
  <c r="G43" i="5"/>
  <c r="I43" i="5" s="1"/>
  <c r="K43" i="5" s="1"/>
  <c r="H42" i="5"/>
  <c r="J43" i="5" l="1"/>
  <c r="G44" i="5"/>
  <c r="I44" i="5" s="1"/>
  <c r="K44" i="5" s="1"/>
  <c r="H43" i="5"/>
  <c r="J44" i="5" l="1"/>
  <c r="G45" i="5"/>
  <c r="I45" i="5" s="1"/>
  <c r="K45" i="5" s="1"/>
  <c r="H44" i="5"/>
  <c r="J45" i="5" l="1"/>
  <c r="G46" i="5"/>
  <c r="I46" i="5" s="1"/>
  <c r="K46" i="5" s="1"/>
  <c r="H45" i="5"/>
  <c r="J46" i="5" l="1"/>
  <c r="G47" i="5"/>
  <c r="I47" i="5" s="1"/>
  <c r="K47" i="5" s="1"/>
  <c r="H46" i="5"/>
  <c r="J47" i="5" l="1"/>
  <c r="G48" i="5"/>
  <c r="I48" i="5" s="1"/>
  <c r="K48" i="5" s="1"/>
  <c r="H47" i="5"/>
  <c r="J48" i="5" l="1"/>
  <c r="G49" i="5"/>
  <c r="I49" i="5" s="1"/>
  <c r="K49" i="5" s="1"/>
  <c r="H48" i="5"/>
  <c r="J49" i="5" l="1"/>
  <c r="G50" i="5"/>
  <c r="I50" i="5" s="1"/>
  <c r="K50" i="5" s="1"/>
  <c r="H49" i="5"/>
  <c r="J50" i="5" l="1"/>
  <c r="G51" i="5"/>
  <c r="I51" i="5" s="1"/>
  <c r="K51" i="5" s="1"/>
  <c r="H50" i="5"/>
  <c r="J51" i="5" l="1"/>
  <c r="G52" i="5"/>
  <c r="I52" i="5" s="1"/>
  <c r="L51" i="5"/>
  <c r="P8" i="4" s="1"/>
  <c r="R8" i="4" s="1"/>
  <c r="T8" i="4" s="1"/>
  <c r="K52" i="5"/>
  <c r="H51" i="5"/>
  <c r="U8" i="4" l="1"/>
  <c r="H52" i="5"/>
  <c r="J52" i="5"/>
  <c r="G53" i="5"/>
  <c r="I53" i="5" s="1"/>
  <c r="K53" i="5" s="1"/>
  <c r="G54" i="5" l="1"/>
  <c r="I54" i="5" s="1"/>
  <c r="K54" i="5" s="1"/>
  <c r="J53" i="5"/>
  <c r="H53" i="5"/>
  <c r="J54" i="5" l="1"/>
  <c r="G55" i="5"/>
  <c r="I55" i="5" s="1"/>
  <c r="K55" i="5" s="1"/>
  <c r="H54" i="5"/>
  <c r="J55" i="5" l="1"/>
  <c r="G56" i="5"/>
  <c r="I56" i="5" s="1"/>
  <c r="K56" i="5" s="1"/>
  <c r="H55" i="5"/>
  <c r="J56" i="5" l="1"/>
  <c r="G57" i="5"/>
  <c r="I57" i="5" s="1"/>
  <c r="K57" i="5" s="1"/>
  <c r="H56" i="5"/>
  <c r="J57" i="5" l="1"/>
  <c r="G58" i="5"/>
  <c r="I58" i="5" s="1"/>
  <c r="K58" i="5" s="1"/>
  <c r="H57" i="5"/>
  <c r="J58" i="5" l="1"/>
  <c r="G59" i="5"/>
  <c r="I59" i="5" s="1"/>
  <c r="K59" i="5" s="1"/>
  <c r="H58" i="5"/>
  <c r="H59" i="5" l="1"/>
  <c r="J59" i="5"/>
  <c r="G60" i="5"/>
  <c r="I60" i="5" s="1"/>
  <c r="K60" i="5" s="1"/>
  <c r="J60" i="5" l="1"/>
  <c r="G61" i="5"/>
  <c r="I61" i="5" s="1"/>
  <c r="K61" i="5" s="1"/>
  <c r="H60" i="5"/>
  <c r="H61" i="5" l="1"/>
  <c r="J61" i="5"/>
  <c r="G62" i="5"/>
  <c r="I62" i="5" s="1"/>
  <c r="K62" i="5" s="1"/>
  <c r="J62" i="5" l="1"/>
  <c r="G63" i="5"/>
  <c r="I63" i="5" s="1"/>
  <c r="K63" i="5" s="1"/>
  <c r="H62" i="5"/>
  <c r="H63" i="5" l="1"/>
  <c r="J63" i="5"/>
  <c r="G64" i="5"/>
  <c r="I64" i="5" s="1"/>
  <c r="K64" i="5" s="1"/>
  <c r="L63" i="5"/>
  <c r="P9" i="4" s="1"/>
  <c r="R9" i="4" s="1"/>
  <c r="T9" i="4" s="1"/>
  <c r="U9" i="4" l="1"/>
  <c r="J64" i="5"/>
  <c r="G65" i="5"/>
  <c r="I65" i="5" s="1"/>
  <c r="H64" i="5"/>
  <c r="J65" i="5" l="1"/>
  <c r="H65" i="5"/>
  <c r="K65" i="5"/>
  <c r="G66" i="5" l="1"/>
  <c r="I66" i="5" l="1"/>
  <c r="H66" i="5"/>
  <c r="J66" i="5" l="1"/>
  <c r="K66" i="5"/>
  <c r="G67" i="5" l="1"/>
  <c r="I67" i="5" l="1"/>
  <c r="H67" i="5"/>
  <c r="J67" i="5" l="1"/>
  <c r="K67" i="5"/>
  <c r="G68" i="5" l="1"/>
  <c r="I68" i="5" l="1"/>
  <c r="H68" i="5"/>
  <c r="J68" i="5" l="1"/>
  <c r="K68" i="5"/>
  <c r="G69" i="5" l="1"/>
  <c r="I69" i="5" l="1"/>
  <c r="H69" i="5"/>
  <c r="J69" i="5" l="1"/>
  <c r="K69" i="5"/>
  <c r="G70" i="5" l="1"/>
  <c r="I70" i="5" l="1"/>
  <c r="H70" i="5"/>
  <c r="J70" i="5" l="1"/>
  <c r="K70" i="5"/>
  <c r="G71" i="5" l="1"/>
  <c r="I71" i="5" l="1"/>
  <c r="H71" i="5"/>
  <c r="J71" i="5" l="1"/>
  <c r="K71" i="5"/>
  <c r="G72" i="5" l="1"/>
  <c r="I72" i="5" l="1"/>
  <c r="H72" i="5"/>
  <c r="J72" i="5" l="1"/>
  <c r="K72" i="5"/>
  <c r="G73" i="5" l="1"/>
  <c r="I73" i="5" l="1"/>
  <c r="H73" i="5"/>
  <c r="K73" i="5" l="1"/>
  <c r="J73" i="5"/>
  <c r="G74" i="5" l="1"/>
  <c r="I74" i="5" l="1"/>
  <c r="H74" i="5"/>
  <c r="K74" i="5" l="1"/>
  <c r="J74" i="5"/>
  <c r="G75" i="5" l="1"/>
  <c r="I75" i="5" l="1"/>
  <c r="H75" i="5"/>
  <c r="K75" i="5" l="1"/>
  <c r="J75" i="5"/>
  <c r="G76" i="5" l="1"/>
  <c r="L75" i="5"/>
  <c r="P10" i="4" s="1"/>
  <c r="R10" i="4" s="1"/>
  <c r="T10" i="4" s="1"/>
  <c r="U10" i="4" l="1"/>
  <c r="I76" i="5"/>
  <c r="H76" i="5"/>
  <c r="J76" i="5" l="1"/>
  <c r="K76" i="5"/>
  <c r="G77" i="5" l="1"/>
  <c r="I77" i="5" l="1"/>
  <c r="H77" i="5"/>
  <c r="J77" i="5" l="1"/>
  <c r="K77" i="5"/>
  <c r="G78" i="5" l="1"/>
  <c r="I78" i="5" l="1"/>
  <c r="H78" i="5"/>
  <c r="J78" i="5" l="1"/>
  <c r="K78" i="5"/>
  <c r="G79" i="5" l="1"/>
  <c r="I79" i="5" l="1"/>
  <c r="H79" i="5"/>
  <c r="J79" i="5" l="1"/>
  <c r="K79" i="5"/>
  <c r="G80" i="5" l="1"/>
  <c r="I80" i="5" l="1"/>
  <c r="H80" i="5"/>
  <c r="J80" i="5" l="1"/>
  <c r="K80" i="5"/>
  <c r="G81" i="5" l="1"/>
  <c r="I81" i="5" l="1"/>
  <c r="H81" i="5"/>
  <c r="J81" i="5" l="1"/>
  <c r="K81" i="5"/>
  <c r="G82" i="5" l="1"/>
  <c r="I82" i="5" l="1"/>
  <c r="H82" i="5"/>
  <c r="J82" i="5" l="1"/>
  <c r="K82" i="5"/>
  <c r="G83" i="5" l="1"/>
  <c r="I83" i="5" l="1"/>
  <c r="H83" i="5"/>
  <c r="J83" i="5" l="1"/>
  <c r="K83" i="5"/>
  <c r="G84" i="5" l="1"/>
  <c r="I84" i="5" l="1"/>
  <c r="H84" i="5"/>
  <c r="J84" i="5" l="1"/>
  <c r="K84" i="5"/>
  <c r="G85" i="5" l="1"/>
  <c r="I85" i="5" l="1"/>
  <c r="H85" i="5"/>
  <c r="J85" i="5" l="1"/>
  <c r="K85" i="5"/>
  <c r="G86" i="5" l="1"/>
  <c r="I86" i="5" l="1"/>
  <c r="H86" i="5"/>
  <c r="J86" i="5" l="1"/>
  <c r="K86" i="5"/>
  <c r="G87" i="5" l="1"/>
  <c r="I87" i="5" l="1"/>
  <c r="H87" i="5"/>
  <c r="J87" i="5" l="1"/>
  <c r="K87" i="5"/>
  <c r="L87" i="5" l="1"/>
  <c r="P11" i="4" s="1"/>
  <c r="R11" i="4" s="1"/>
  <c r="T11" i="4" s="1"/>
  <c r="G88" i="5"/>
  <c r="U11" i="4" l="1"/>
  <c r="I88" i="5"/>
  <c r="H88" i="5"/>
  <c r="K88" i="5" l="1"/>
  <c r="J88" i="5"/>
  <c r="G89" i="5" l="1"/>
  <c r="I89" i="5" l="1"/>
  <c r="H89" i="5"/>
  <c r="K89" i="5" l="1"/>
  <c r="J89" i="5"/>
  <c r="G90" i="5" l="1"/>
  <c r="I90" i="5" l="1"/>
  <c r="H90" i="5"/>
  <c r="K90" i="5" l="1"/>
  <c r="J90" i="5"/>
  <c r="G91" i="5" l="1"/>
  <c r="I91" i="5" l="1"/>
  <c r="H91" i="5"/>
  <c r="K91" i="5" l="1"/>
  <c r="J91" i="5"/>
  <c r="G92" i="5" l="1"/>
  <c r="I92" i="5" l="1"/>
  <c r="H92" i="5"/>
  <c r="K92" i="5" l="1"/>
  <c r="J92" i="5"/>
  <c r="G93" i="5" l="1"/>
  <c r="I93" i="5" l="1"/>
  <c r="H93" i="5"/>
  <c r="K93" i="5" l="1"/>
  <c r="J93" i="5"/>
  <c r="G94" i="5" l="1"/>
  <c r="I94" i="5" l="1"/>
  <c r="H94" i="5"/>
  <c r="K94" i="5" l="1"/>
  <c r="J94" i="5"/>
  <c r="G95" i="5" l="1"/>
  <c r="I95" i="5" l="1"/>
  <c r="H95" i="5"/>
  <c r="K95" i="5" l="1"/>
  <c r="J95" i="5"/>
  <c r="G96" i="5" l="1"/>
  <c r="I96" i="5" l="1"/>
  <c r="H96" i="5"/>
  <c r="K96" i="5" l="1"/>
  <c r="J96" i="5"/>
  <c r="G97" i="5" l="1"/>
  <c r="I97" i="5" l="1"/>
  <c r="H97" i="5"/>
  <c r="K97" i="5" l="1"/>
  <c r="J97" i="5"/>
  <c r="G98" i="5" l="1"/>
  <c r="I98" i="5" l="1"/>
  <c r="H98" i="5"/>
  <c r="K98" i="5" l="1"/>
  <c r="J98" i="5"/>
  <c r="G99" i="5" l="1"/>
  <c r="I99" i="5" l="1"/>
  <c r="H99" i="5"/>
  <c r="K99" i="5" l="1"/>
  <c r="J99" i="5"/>
  <c r="L99" i="5" l="1"/>
  <c r="P12" i="4" s="1"/>
  <c r="R12" i="4" s="1"/>
  <c r="T12" i="4" s="1"/>
  <c r="G100" i="5"/>
  <c r="U12" i="4" l="1"/>
  <c r="I100" i="5"/>
  <c r="H100" i="5"/>
  <c r="J100" i="5" l="1"/>
  <c r="K100" i="5"/>
  <c r="G101" i="5" l="1"/>
  <c r="I101" i="5" l="1"/>
  <c r="H101" i="5"/>
  <c r="J101" i="5" l="1"/>
  <c r="K101" i="5"/>
  <c r="G102" i="5" l="1"/>
  <c r="I102" i="5" l="1"/>
  <c r="H102" i="5"/>
  <c r="J102" i="5" l="1"/>
  <c r="K102" i="5"/>
  <c r="G103" i="5" l="1"/>
  <c r="I103" i="5" l="1"/>
  <c r="H103" i="5"/>
  <c r="J103" i="5" l="1"/>
  <c r="K103" i="5"/>
  <c r="G104" i="5" l="1"/>
  <c r="I104" i="5" l="1"/>
  <c r="H104" i="5"/>
  <c r="J104" i="5" l="1"/>
  <c r="K104" i="5"/>
  <c r="G105" i="5" l="1"/>
  <c r="I105" i="5" l="1"/>
  <c r="H105" i="5"/>
  <c r="J105" i="5" l="1"/>
  <c r="K105" i="5"/>
  <c r="G106" i="5" l="1"/>
  <c r="I106" i="5" l="1"/>
  <c r="H106" i="5"/>
  <c r="J106" i="5" l="1"/>
  <c r="K106" i="5"/>
  <c r="G107" i="5" l="1"/>
  <c r="I107" i="5" l="1"/>
  <c r="H107" i="5"/>
  <c r="J107" i="5" l="1"/>
  <c r="K107" i="5"/>
  <c r="G108" i="5" l="1"/>
  <c r="I108" i="5" l="1"/>
  <c r="H108" i="5"/>
  <c r="J108" i="5" l="1"/>
  <c r="K108" i="5"/>
  <c r="G109" i="5" l="1"/>
  <c r="I109" i="5" l="1"/>
  <c r="H109" i="5"/>
  <c r="J109" i="5" l="1"/>
  <c r="K109" i="5"/>
  <c r="G110" i="5" l="1"/>
  <c r="I110" i="5" l="1"/>
  <c r="H110" i="5"/>
  <c r="J110" i="5" l="1"/>
  <c r="K110" i="5"/>
  <c r="G111" i="5" l="1"/>
  <c r="I111" i="5" l="1"/>
  <c r="H111" i="5"/>
  <c r="J111" i="5" l="1"/>
  <c r="K111" i="5"/>
  <c r="L111" i="5" l="1"/>
  <c r="P13" i="4" s="1"/>
  <c r="R13" i="4" s="1"/>
  <c r="T13" i="4" s="1"/>
  <c r="G112" i="5"/>
  <c r="U13" i="4" l="1"/>
  <c r="I112" i="5"/>
  <c r="H112" i="5"/>
  <c r="J112" i="5" l="1"/>
  <c r="K112" i="5"/>
  <c r="G113" i="5" l="1"/>
  <c r="I113" i="5" l="1"/>
  <c r="H113" i="5"/>
  <c r="J113" i="5" l="1"/>
  <c r="K113" i="5"/>
  <c r="G114" i="5" l="1"/>
  <c r="I114" i="5" l="1"/>
  <c r="H114" i="5"/>
  <c r="J114" i="5" l="1"/>
  <c r="K114" i="5"/>
  <c r="G115" i="5" l="1"/>
  <c r="I115" i="5" l="1"/>
  <c r="H115" i="5"/>
  <c r="J115" i="5" l="1"/>
  <c r="K115" i="5"/>
  <c r="G116" i="5" l="1"/>
  <c r="I116" i="5" l="1"/>
  <c r="H116" i="5"/>
  <c r="J116" i="5" l="1"/>
  <c r="K116" i="5"/>
  <c r="G117" i="5" l="1"/>
  <c r="I117" i="5" l="1"/>
  <c r="H117" i="5"/>
  <c r="J117" i="5" l="1"/>
  <c r="K117" i="5"/>
  <c r="G118" i="5" l="1"/>
  <c r="I118" i="5" l="1"/>
  <c r="H118" i="5"/>
  <c r="J118" i="5" l="1"/>
  <c r="K118" i="5"/>
  <c r="G119" i="5" l="1"/>
  <c r="I119" i="5" l="1"/>
  <c r="H119" i="5"/>
  <c r="J119" i="5" l="1"/>
  <c r="K119" i="5"/>
  <c r="G120" i="5" l="1"/>
  <c r="I120" i="5" l="1"/>
  <c r="H120" i="5"/>
  <c r="J120" i="5" l="1"/>
  <c r="K120" i="5"/>
  <c r="G121" i="5" l="1"/>
  <c r="I121" i="5" l="1"/>
  <c r="H121" i="5"/>
  <c r="J121" i="5" l="1"/>
  <c r="K121" i="5"/>
  <c r="G122" i="5" l="1"/>
  <c r="I122" i="5" l="1"/>
  <c r="H122" i="5"/>
  <c r="J122" i="5" l="1"/>
  <c r="K122" i="5"/>
  <c r="G123" i="5" l="1"/>
  <c r="I123" i="5" l="1"/>
  <c r="H123" i="5"/>
  <c r="J123" i="5" l="1"/>
  <c r="K123" i="5"/>
  <c r="L123" i="5" l="1"/>
  <c r="P14" i="4" s="1"/>
  <c r="R14" i="4" s="1"/>
  <c r="T14" i="4" s="1"/>
  <c r="G124" i="5"/>
  <c r="U14" i="4" l="1"/>
  <c r="I124" i="5"/>
  <c r="H124" i="5"/>
  <c r="J124" i="5" l="1"/>
  <c r="K124" i="5"/>
  <c r="G125" i="5" l="1"/>
  <c r="I125" i="5" l="1"/>
  <c r="H125" i="5"/>
  <c r="J125" i="5" l="1"/>
  <c r="K125" i="5"/>
  <c r="G126" i="5" l="1"/>
  <c r="I126" i="5" l="1"/>
  <c r="H126" i="5"/>
  <c r="J126" i="5" l="1"/>
  <c r="K126" i="5"/>
  <c r="G127" i="5" l="1"/>
  <c r="I127" i="5" l="1"/>
  <c r="H127" i="5"/>
  <c r="J127" i="5" l="1"/>
  <c r="K127" i="5"/>
  <c r="G128" i="5" l="1"/>
  <c r="I128" i="5" l="1"/>
  <c r="H128" i="5"/>
  <c r="J128" i="5" l="1"/>
  <c r="K128" i="5"/>
  <c r="G129" i="5" l="1"/>
  <c r="I129" i="5" l="1"/>
  <c r="H129" i="5"/>
  <c r="J129" i="5" l="1"/>
  <c r="K129" i="5"/>
  <c r="G130" i="5" l="1"/>
  <c r="I130" i="5" l="1"/>
  <c r="H130" i="5"/>
  <c r="J130" i="5" l="1"/>
  <c r="K130" i="5"/>
  <c r="G131" i="5" l="1"/>
  <c r="I131" i="5" l="1"/>
  <c r="H131" i="5"/>
  <c r="J131" i="5" l="1"/>
  <c r="K131" i="5"/>
  <c r="G132" i="5" l="1"/>
  <c r="I132" i="5" l="1"/>
  <c r="H132" i="5"/>
  <c r="J132" i="5" l="1"/>
  <c r="K132" i="5"/>
  <c r="G133" i="5" l="1"/>
  <c r="I133" i="5" l="1"/>
  <c r="H133" i="5"/>
  <c r="J133" i="5" l="1"/>
  <c r="K133" i="5"/>
  <c r="G134" i="5" l="1"/>
  <c r="I134" i="5" l="1"/>
  <c r="H134" i="5"/>
  <c r="J134" i="5" l="1"/>
  <c r="K134" i="5"/>
  <c r="G135" i="5" l="1"/>
  <c r="I135" i="5" l="1"/>
  <c r="H135" i="5"/>
  <c r="J135" i="5" l="1"/>
  <c r="K135" i="5"/>
  <c r="L135" i="5" l="1"/>
  <c r="P15" i="4" s="1"/>
  <c r="R15" i="4" s="1"/>
  <c r="T15" i="4" s="1"/>
  <c r="G136" i="5"/>
  <c r="U15" i="4" l="1"/>
  <c r="I136" i="5"/>
  <c r="H136" i="5"/>
  <c r="J136" i="5" l="1"/>
  <c r="K136" i="5"/>
  <c r="G137" i="5" l="1"/>
  <c r="I137" i="5" l="1"/>
  <c r="H137" i="5"/>
  <c r="J137" i="5" l="1"/>
  <c r="K137" i="5"/>
  <c r="G138" i="5" l="1"/>
  <c r="I138" i="5" l="1"/>
  <c r="H138" i="5"/>
  <c r="J138" i="5" l="1"/>
  <c r="K138" i="5"/>
  <c r="G139" i="5" l="1"/>
  <c r="I139" i="5" l="1"/>
  <c r="H139" i="5"/>
  <c r="J139" i="5" l="1"/>
  <c r="K139" i="5"/>
  <c r="G140" i="5" l="1"/>
  <c r="I140" i="5" l="1"/>
  <c r="H140" i="5"/>
  <c r="J140" i="5" l="1"/>
  <c r="K140" i="5"/>
  <c r="G141" i="5" l="1"/>
  <c r="I141" i="5" l="1"/>
  <c r="H141" i="5"/>
  <c r="J141" i="5" l="1"/>
  <c r="K141" i="5"/>
  <c r="G142" i="5" l="1"/>
  <c r="I142" i="5" l="1"/>
  <c r="H142" i="5"/>
  <c r="J142" i="5" l="1"/>
  <c r="K142" i="5"/>
  <c r="G143" i="5" l="1"/>
  <c r="I143" i="5" l="1"/>
  <c r="H143" i="5"/>
  <c r="J143" i="5" l="1"/>
  <c r="K143" i="5"/>
  <c r="G144" i="5" l="1"/>
  <c r="I144" i="5" l="1"/>
  <c r="H144" i="5"/>
  <c r="J144" i="5" l="1"/>
  <c r="K144" i="5"/>
  <c r="G145" i="5" l="1"/>
  <c r="I145" i="5" l="1"/>
  <c r="H145" i="5"/>
  <c r="J145" i="5" l="1"/>
  <c r="K145" i="5"/>
  <c r="G146" i="5" l="1"/>
  <c r="I146" i="5" l="1"/>
  <c r="H146" i="5"/>
  <c r="J146" i="5" l="1"/>
  <c r="K146" i="5"/>
  <c r="G147" i="5" l="1"/>
  <c r="I147" i="5" l="1"/>
  <c r="H147" i="5"/>
  <c r="J147" i="5" l="1"/>
  <c r="K147" i="5"/>
  <c r="L147" i="5" l="1"/>
  <c r="P16" i="4" s="1"/>
  <c r="R16" i="4" s="1"/>
  <c r="T16" i="4" s="1"/>
  <c r="G148" i="5"/>
  <c r="U16" i="4" l="1"/>
  <c r="I148" i="5"/>
  <c r="H148" i="5"/>
  <c r="J148" i="5" l="1"/>
  <c r="K148" i="5"/>
  <c r="G149" i="5" l="1"/>
  <c r="I149" i="5" l="1"/>
  <c r="H149" i="5"/>
  <c r="J149" i="5" l="1"/>
  <c r="K149" i="5"/>
  <c r="G150" i="5" l="1"/>
  <c r="I150" i="5" l="1"/>
  <c r="H150" i="5"/>
  <c r="J150" i="5" l="1"/>
  <c r="K150" i="5"/>
  <c r="G151" i="5" l="1"/>
  <c r="I151" i="5" l="1"/>
  <c r="H151" i="5"/>
  <c r="J151" i="5" l="1"/>
  <c r="K151" i="5"/>
  <c r="G152" i="5" l="1"/>
  <c r="I152" i="5" l="1"/>
  <c r="H152" i="5"/>
  <c r="J152" i="5" l="1"/>
  <c r="K152" i="5"/>
  <c r="G153" i="5" l="1"/>
  <c r="I153" i="5" l="1"/>
  <c r="H153" i="5"/>
  <c r="J153" i="5" l="1"/>
  <c r="K153" i="5"/>
  <c r="G154" i="5" l="1"/>
  <c r="I154" i="5" l="1"/>
  <c r="H154" i="5"/>
  <c r="J154" i="5" l="1"/>
  <c r="K154" i="5"/>
  <c r="G155" i="5" l="1"/>
  <c r="I155" i="5" l="1"/>
  <c r="H155" i="5"/>
  <c r="J155" i="5" l="1"/>
  <c r="K155" i="5"/>
  <c r="G156" i="5" l="1"/>
  <c r="I156" i="5" l="1"/>
  <c r="H156" i="5"/>
  <c r="J156" i="5" l="1"/>
  <c r="K156" i="5"/>
  <c r="G157" i="5" l="1"/>
  <c r="I157" i="5" l="1"/>
  <c r="H157" i="5"/>
  <c r="J157" i="5" l="1"/>
  <c r="K157" i="5"/>
  <c r="G158" i="5" l="1"/>
  <c r="I158" i="5" l="1"/>
  <c r="H158" i="5"/>
  <c r="J158" i="5" l="1"/>
  <c r="K158" i="5"/>
  <c r="G159" i="5" l="1"/>
  <c r="I159" i="5" l="1"/>
  <c r="H159" i="5"/>
  <c r="J159" i="5" l="1"/>
  <c r="K159" i="5"/>
  <c r="L159" i="5" l="1"/>
  <c r="P17" i="4" s="1"/>
  <c r="R17" i="4" s="1"/>
  <c r="T17" i="4" s="1"/>
  <c r="G160" i="5"/>
  <c r="U17" i="4" l="1"/>
  <c r="I160" i="5"/>
  <c r="H160" i="5"/>
  <c r="J160" i="5" l="1"/>
  <c r="K160" i="5"/>
  <c r="G161" i="5" l="1"/>
  <c r="I161" i="5" l="1"/>
  <c r="H161" i="5"/>
  <c r="J161" i="5" l="1"/>
  <c r="K161" i="5"/>
  <c r="G162" i="5" l="1"/>
  <c r="I162" i="5" l="1"/>
  <c r="H162" i="5"/>
  <c r="J162" i="5" l="1"/>
  <c r="K162" i="5"/>
  <c r="G163" i="5" l="1"/>
  <c r="I163" i="5" l="1"/>
  <c r="H163" i="5"/>
  <c r="J163" i="5" l="1"/>
  <c r="K163" i="5"/>
  <c r="G164" i="5" l="1"/>
  <c r="I164" i="5" l="1"/>
  <c r="H164" i="5"/>
  <c r="J164" i="5" l="1"/>
  <c r="K164" i="5"/>
  <c r="G165" i="5" l="1"/>
  <c r="I165" i="5" l="1"/>
  <c r="H165" i="5"/>
  <c r="J165" i="5" l="1"/>
  <c r="K165" i="5"/>
  <c r="G166" i="5" l="1"/>
  <c r="I166" i="5" l="1"/>
  <c r="H166" i="5"/>
  <c r="J166" i="5" l="1"/>
  <c r="K166" i="5"/>
  <c r="G167" i="5" l="1"/>
  <c r="I167" i="5" l="1"/>
  <c r="H167" i="5"/>
  <c r="J167" i="5" l="1"/>
  <c r="K167" i="5"/>
  <c r="G168" i="5" l="1"/>
  <c r="I168" i="5" l="1"/>
  <c r="H168" i="5"/>
  <c r="J168" i="5" l="1"/>
  <c r="K168" i="5"/>
  <c r="G169" i="5" l="1"/>
  <c r="I169" i="5" l="1"/>
  <c r="H169" i="5"/>
  <c r="J169" i="5" l="1"/>
  <c r="K169" i="5"/>
  <c r="G170" i="5" l="1"/>
  <c r="I170" i="5" l="1"/>
  <c r="H170" i="5"/>
  <c r="J170" i="5" l="1"/>
  <c r="K170" i="5"/>
  <c r="G171" i="5" l="1"/>
  <c r="I171" i="5" l="1"/>
  <c r="H171" i="5"/>
  <c r="J171" i="5" l="1"/>
  <c r="K171" i="5"/>
  <c r="L171" i="5" l="1"/>
  <c r="P18" i="4" s="1"/>
  <c r="R18" i="4" s="1"/>
  <c r="T18" i="4" s="1"/>
  <c r="G172" i="5"/>
  <c r="U18" i="4" l="1"/>
  <c r="I172" i="5"/>
  <c r="H172" i="5"/>
  <c r="J172" i="5" l="1"/>
  <c r="K172" i="5"/>
  <c r="G173" i="5" l="1"/>
  <c r="I173" i="5" l="1"/>
  <c r="H173" i="5"/>
  <c r="J173" i="5" l="1"/>
  <c r="K173" i="5"/>
  <c r="G174" i="5" l="1"/>
  <c r="I174" i="5" l="1"/>
  <c r="H174" i="5"/>
  <c r="J174" i="5" l="1"/>
  <c r="K174" i="5"/>
  <c r="G175" i="5" l="1"/>
  <c r="I175" i="5" l="1"/>
  <c r="H175" i="5"/>
  <c r="J175" i="5" l="1"/>
  <c r="K175" i="5"/>
  <c r="G176" i="5" l="1"/>
  <c r="I176" i="5" l="1"/>
  <c r="H176" i="5"/>
  <c r="J176" i="5" l="1"/>
  <c r="K176" i="5"/>
  <c r="G177" i="5" l="1"/>
  <c r="I177" i="5" l="1"/>
  <c r="H177" i="5"/>
  <c r="J177" i="5" l="1"/>
  <c r="K177" i="5"/>
  <c r="G178" i="5" l="1"/>
  <c r="I178" i="5" l="1"/>
  <c r="H178" i="5"/>
  <c r="J178" i="5" l="1"/>
  <c r="K178" i="5"/>
  <c r="G179" i="5" l="1"/>
  <c r="I179" i="5" l="1"/>
  <c r="H179" i="5"/>
  <c r="J179" i="5" l="1"/>
  <c r="K179" i="5"/>
  <c r="G180" i="5" l="1"/>
  <c r="I180" i="5" l="1"/>
  <c r="H180" i="5"/>
  <c r="J180" i="5" l="1"/>
  <c r="K180" i="5"/>
  <c r="G181" i="5" l="1"/>
  <c r="I181" i="5" l="1"/>
  <c r="H181" i="5"/>
  <c r="J181" i="5" l="1"/>
  <c r="K181" i="5"/>
  <c r="G182" i="5" l="1"/>
  <c r="I182" i="5" l="1"/>
  <c r="H182" i="5"/>
  <c r="J182" i="5" l="1"/>
  <c r="K182" i="5"/>
  <c r="G183" i="5" l="1"/>
  <c r="I183" i="5" l="1"/>
  <c r="H183" i="5"/>
  <c r="J183" i="5" l="1"/>
  <c r="K183" i="5"/>
  <c r="L183" i="5" l="1"/>
  <c r="P19" i="4" s="1"/>
  <c r="R19" i="4" s="1"/>
  <c r="T19" i="4" s="1"/>
  <c r="G184" i="5"/>
  <c r="U19" i="4" l="1"/>
  <c r="I184" i="5"/>
  <c r="H184" i="5"/>
  <c r="J184" i="5" l="1"/>
  <c r="K184" i="5"/>
  <c r="G185" i="5" l="1"/>
  <c r="I185" i="5" l="1"/>
  <c r="H185" i="5"/>
  <c r="J185" i="5" l="1"/>
  <c r="K185" i="5"/>
  <c r="G186" i="5" l="1"/>
  <c r="I186" i="5" l="1"/>
  <c r="H186" i="5"/>
  <c r="J186" i="5" l="1"/>
  <c r="K186" i="5"/>
  <c r="G187" i="5" l="1"/>
  <c r="I187" i="5" l="1"/>
  <c r="H187" i="5"/>
  <c r="J187" i="5" l="1"/>
  <c r="K187" i="5"/>
  <c r="G188" i="5" l="1"/>
  <c r="I188" i="5" l="1"/>
  <c r="H188" i="5"/>
  <c r="J188" i="5" l="1"/>
  <c r="K188" i="5"/>
  <c r="G189" i="5" l="1"/>
  <c r="I189" i="5" l="1"/>
  <c r="H189" i="5"/>
  <c r="J189" i="5" l="1"/>
  <c r="K189" i="5"/>
  <c r="G190" i="5" l="1"/>
  <c r="I190" i="5" l="1"/>
  <c r="H190" i="5"/>
  <c r="J190" i="5" l="1"/>
  <c r="K190" i="5"/>
  <c r="G191" i="5" l="1"/>
  <c r="I191" i="5" l="1"/>
  <c r="H191" i="5"/>
  <c r="J191" i="5" l="1"/>
  <c r="K191" i="5"/>
  <c r="G192" i="5" l="1"/>
  <c r="I192" i="5" l="1"/>
  <c r="H192" i="5"/>
  <c r="J192" i="5" l="1"/>
  <c r="K192" i="5"/>
  <c r="G193" i="5" l="1"/>
  <c r="I193" i="5" l="1"/>
  <c r="H193" i="5"/>
  <c r="J193" i="5" l="1"/>
  <c r="K193" i="5"/>
  <c r="G194" i="5" l="1"/>
  <c r="I194" i="5" l="1"/>
  <c r="H194" i="5"/>
  <c r="J194" i="5" l="1"/>
  <c r="K194" i="5"/>
  <c r="G195" i="5" l="1"/>
  <c r="I195" i="5" l="1"/>
  <c r="H195" i="5"/>
  <c r="J195" i="5" l="1"/>
  <c r="K195" i="5"/>
  <c r="L195" i="5" l="1"/>
  <c r="P20" i="4" s="1"/>
  <c r="R20" i="4" s="1"/>
  <c r="T20" i="4" s="1"/>
  <c r="G196" i="5"/>
  <c r="U20" i="4" l="1"/>
  <c r="I196" i="5"/>
  <c r="H196" i="5"/>
  <c r="J196" i="5" l="1"/>
  <c r="K196" i="5"/>
  <c r="G197" i="5" l="1"/>
  <c r="I197" i="5" l="1"/>
  <c r="H197" i="5"/>
  <c r="J197" i="5" l="1"/>
  <c r="K197" i="5"/>
  <c r="G198" i="5" l="1"/>
  <c r="I198" i="5" l="1"/>
  <c r="H198" i="5"/>
  <c r="J198" i="5" l="1"/>
  <c r="K198" i="5"/>
  <c r="G199" i="5" l="1"/>
  <c r="I199" i="5" l="1"/>
  <c r="H199" i="5"/>
  <c r="J199" i="5" l="1"/>
  <c r="K199" i="5"/>
  <c r="G200" i="5" l="1"/>
  <c r="I200" i="5" l="1"/>
  <c r="H200" i="5"/>
  <c r="J200" i="5" l="1"/>
  <c r="K200" i="5"/>
  <c r="G201" i="5" l="1"/>
  <c r="I201" i="5" l="1"/>
  <c r="H201" i="5"/>
  <c r="J201" i="5" l="1"/>
  <c r="K201" i="5"/>
  <c r="G202" i="5" l="1"/>
  <c r="I202" i="5" l="1"/>
  <c r="H202" i="5"/>
  <c r="J202" i="5" l="1"/>
  <c r="K202" i="5"/>
  <c r="G203" i="5" l="1"/>
  <c r="I203" i="5" l="1"/>
  <c r="H203" i="5"/>
  <c r="J203" i="5" l="1"/>
  <c r="K203" i="5"/>
  <c r="G204" i="5" l="1"/>
  <c r="I204" i="5" l="1"/>
  <c r="H204" i="5"/>
  <c r="J204" i="5" l="1"/>
  <c r="K204" i="5"/>
  <c r="G205" i="5" l="1"/>
  <c r="I205" i="5" l="1"/>
  <c r="H205" i="5"/>
  <c r="J205" i="5" l="1"/>
  <c r="K205" i="5"/>
  <c r="G206" i="5" l="1"/>
  <c r="I206" i="5" l="1"/>
  <c r="H206" i="5"/>
  <c r="J206" i="5" l="1"/>
  <c r="K206" i="5"/>
  <c r="G207" i="5" l="1"/>
  <c r="I207" i="5" l="1"/>
  <c r="H207" i="5"/>
  <c r="J207" i="5" l="1"/>
  <c r="K207" i="5"/>
  <c r="L207" i="5" l="1"/>
  <c r="P21" i="4" s="1"/>
  <c r="R21" i="4" s="1"/>
  <c r="T21" i="4" s="1"/>
  <c r="G208" i="5"/>
  <c r="U21" i="4" l="1"/>
  <c r="I208" i="5"/>
  <c r="H208" i="5"/>
  <c r="J208" i="5" l="1"/>
  <c r="K208" i="5"/>
  <c r="G209" i="5" l="1"/>
  <c r="I209" i="5" l="1"/>
  <c r="H209" i="5"/>
  <c r="J209" i="5" l="1"/>
  <c r="K209" i="5"/>
  <c r="G210" i="5" l="1"/>
  <c r="I210" i="5" l="1"/>
  <c r="H210" i="5"/>
  <c r="J210" i="5" l="1"/>
  <c r="K210" i="5"/>
  <c r="G211" i="5" l="1"/>
  <c r="I211" i="5" l="1"/>
  <c r="H211" i="5"/>
  <c r="J211" i="5" l="1"/>
  <c r="K211" i="5"/>
  <c r="G212" i="5" l="1"/>
  <c r="I212" i="5" l="1"/>
  <c r="H212" i="5"/>
  <c r="J212" i="5" l="1"/>
  <c r="K212" i="5"/>
  <c r="G213" i="5" l="1"/>
  <c r="I213" i="5" l="1"/>
  <c r="H213" i="5"/>
  <c r="J213" i="5" l="1"/>
  <c r="K213" i="5"/>
  <c r="G214" i="5" l="1"/>
  <c r="I214" i="5" l="1"/>
  <c r="H214" i="5"/>
  <c r="J214" i="5" l="1"/>
  <c r="K214" i="5"/>
  <c r="G215" i="5" l="1"/>
  <c r="I215" i="5" l="1"/>
  <c r="H215" i="5"/>
  <c r="J215" i="5" l="1"/>
  <c r="K215" i="5"/>
  <c r="G216" i="5" l="1"/>
  <c r="I216" i="5" l="1"/>
  <c r="H216" i="5"/>
  <c r="J216" i="5" l="1"/>
  <c r="K216" i="5"/>
  <c r="G217" i="5" l="1"/>
  <c r="I217" i="5" l="1"/>
  <c r="H217" i="5"/>
  <c r="J217" i="5" l="1"/>
  <c r="K217" i="5"/>
  <c r="G218" i="5" l="1"/>
  <c r="I218" i="5" l="1"/>
  <c r="H218" i="5"/>
  <c r="J218" i="5" l="1"/>
  <c r="K218" i="5"/>
  <c r="G219" i="5" l="1"/>
  <c r="I219" i="5" l="1"/>
  <c r="H219" i="5"/>
  <c r="J219" i="5" l="1"/>
  <c r="K219" i="5"/>
  <c r="L219" i="5" l="1"/>
  <c r="P22" i="4" s="1"/>
  <c r="R22" i="4" s="1"/>
  <c r="T22" i="4" s="1"/>
  <c r="G220" i="5"/>
  <c r="U22" i="4" l="1"/>
  <c r="I220" i="5"/>
  <c r="H220" i="5"/>
  <c r="J220" i="5" l="1"/>
  <c r="K220" i="5"/>
  <c r="G221" i="5" l="1"/>
  <c r="I221" i="5" l="1"/>
  <c r="H221" i="5"/>
  <c r="J221" i="5" l="1"/>
  <c r="K221" i="5"/>
  <c r="G222" i="5" l="1"/>
  <c r="I222" i="5" l="1"/>
  <c r="H222" i="5"/>
  <c r="J222" i="5" l="1"/>
  <c r="K222" i="5"/>
  <c r="G223" i="5" l="1"/>
  <c r="I223" i="5" l="1"/>
  <c r="H223" i="5"/>
  <c r="J223" i="5" l="1"/>
  <c r="K223" i="5"/>
  <c r="G224" i="5" l="1"/>
  <c r="I224" i="5" l="1"/>
  <c r="H224" i="5"/>
  <c r="J224" i="5" l="1"/>
  <c r="K224" i="5"/>
  <c r="G225" i="5" l="1"/>
  <c r="I225" i="5" l="1"/>
  <c r="H225" i="5"/>
  <c r="J225" i="5" l="1"/>
  <c r="K225" i="5"/>
  <c r="G226" i="5" l="1"/>
  <c r="I226" i="5" l="1"/>
  <c r="H226" i="5"/>
  <c r="J226" i="5" l="1"/>
  <c r="K226" i="5"/>
  <c r="G227" i="5" l="1"/>
  <c r="I227" i="5" l="1"/>
  <c r="H227" i="5"/>
  <c r="J227" i="5" l="1"/>
  <c r="K227" i="5"/>
  <c r="G228" i="5" l="1"/>
  <c r="I228" i="5" l="1"/>
  <c r="H228" i="5"/>
  <c r="J228" i="5" l="1"/>
  <c r="K228" i="5"/>
  <c r="G229" i="5" l="1"/>
  <c r="I229" i="5" l="1"/>
  <c r="H229" i="5"/>
  <c r="J229" i="5" l="1"/>
  <c r="K229" i="5"/>
  <c r="G230" i="5" l="1"/>
  <c r="I230" i="5" l="1"/>
  <c r="H230" i="5"/>
  <c r="J230" i="5" l="1"/>
  <c r="K230" i="5"/>
  <c r="G231" i="5" l="1"/>
  <c r="I231" i="5" l="1"/>
  <c r="H231" i="5"/>
  <c r="J231" i="5" l="1"/>
  <c r="K231" i="5"/>
  <c r="L231" i="5" l="1"/>
  <c r="P23" i="4" s="1"/>
  <c r="R23" i="4" s="1"/>
  <c r="T23" i="4" s="1"/>
  <c r="G232" i="5"/>
  <c r="U23" i="4" l="1"/>
  <c r="I232" i="5"/>
  <c r="H232" i="5"/>
  <c r="J232" i="5" l="1"/>
  <c r="K232" i="5"/>
  <c r="G233" i="5" l="1"/>
  <c r="I233" i="5" l="1"/>
  <c r="H233" i="5"/>
  <c r="J233" i="5" l="1"/>
  <c r="K233" i="5"/>
  <c r="G234" i="5" l="1"/>
  <c r="I234" i="5" l="1"/>
  <c r="H234" i="5"/>
  <c r="J234" i="5" l="1"/>
  <c r="K234" i="5"/>
  <c r="G235" i="5" l="1"/>
  <c r="I235" i="5" l="1"/>
  <c r="H235" i="5"/>
  <c r="J235" i="5" l="1"/>
  <c r="K235" i="5"/>
  <c r="G236" i="5" l="1"/>
  <c r="I236" i="5" l="1"/>
  <c r="H236" i="5"/>
  <c r="J236" i="5" l="1"/>
  <c r="K236" i="5"/>
  <c r="G237" i="5" l="1"/>
  <c r="I237" i="5" l="1"/>
  <c r="H237" i="5"/>
  <c r="J237" i="5" l="1"/>
  <c r="K237" i="5"/>
  <c r="G238" i="5" l="1"/>
  <c r="I238" i="5" l="1"/>
  <c r="H238" i="5"/>
  <c r="J238" i="5" l="1"/>
  <c r="K238" i="5"/>
  <c r="G239" i="5" l="1"/>
  <c r="I239" i="5" l="1"/>
  <c r="H239" i="5"/>
  <c r="J239" i="5" l="1"/>
  <c r="K239" i="5"/>
  <c r="G240" i="5" l="1"/>
  <c r="I240" i="5" l="1"/>
  <c r="H240" i="5"/>
  <c r="J240" i="5" l="1"/>
  <c r="K240" i="5"/>
  <c r="G241" i="5" l="1"/>
  <c r="I241" i="5" l="1"/>
  <c r="H241" i="5"/>
  <c r="J241" i="5" l="1"/>
  <c r="K241" i="5"/>
  <c r="G242" i="5" l="1"/>
  <c r="I242" i="5" l="1"/>
  <c r="H242" i="5"/>
  <c r="J242" i="5" l="1"/>
  <c r="K242" i="5"/>
  <c r="G243" i="5" l="1"/>
  <c r="I243" i="5" l="1"/>
  <c r="H243" i="5"/>
  <c r="J243" i="5" l="1"/>
  <c r="K243" i="5"/>
  <c r="L243" i="5" l="1"/>
  <c r="P24" i="4" s="1"/>
  <c r="G244" i="5"/>
  <c r="R24" i="4" l="1"/>
  <c r="T24" i="4" s="1"/>
  <c r="I244" i="5"/>
  <c r="H244" i="5"/>
  <c r="U24" i="4" l="1"/>
  <c r="J244" i="5"/>
  <c r="K244" i="5"/>
  <c r="G245" i="5" l="1"/>
  <c r="I245" i="5" l="1"/>
  <c r="H245" i="5"/>
  <c r="J245" i="5" l="1"/>
  <c r="K245" i="5"/>
  <c r="G246" i="5" l="1"/>
  <c r="I246" i="5" l="1"/>
  <c r="H246" i="5"/>
  <c r="J246" i="5" l="1"/>
  <c r="K246" i="5"/>
  <c r="G247" i="5" l="1"/>
  <c r="I247" i="5" l="1"/>
  <c r="H247" i="5"/>
  <c r="J247" i="5" l="1"/>
  <c r="K247" i="5"/>
  <c r="G248" i="5" l="1"/>
  <c r="I248" i="5" l="1"/>
  <c r="H248" i="5"/>
  <c r="J248" i="5" l="1"/>
  <c r="K248" i="5"/>
  <c r="G249" i="5" l="1"/>
  <c r="I249" i="5" l="1"/>
  <c r="H249" i="5"/>
  <c r="J249" i="5" l="1"/>
  <c r="K249" i="5"/>
  <c r="G250" i="5" l="1"/>
  <c r="I250" i="5" l="1"/>
  <c r="H250" i="5"/>
  <c r="J250" i="5" l="1"/>
  <c r="K250" i="5"/>
  <c r="G251" i="5" l="1"/>
  <c r="I251" i="5" l="1"/>
  <c r="H251" i="5"/>
  <c r="J251" i="5" l="1"/>
  <c r="K251" i="5"/>
  <c r="G252" i="5" l="1"/>
  <c r="I252" i="5" l="1"/>
  <c r="H252" i="5"/>
  <c r="J252" i="5" l="1"/>
  <c r="K252" i="5"/>
  <c r="G253" i="5" l="1"/>
  <c r="I253" i="5" l="1"/>
  <c r="H253" i="5"/>
  <c r="J253" i="5" l="1"/>
  <c r="K253" i="5"/>
  <c r="G254" i="5" l="1"/>
  <c r="I254" i="5" l="1"/>
  <c r="H254" i="5"/>
  <c r="J254" i="5" l="1"/>
  <c r="K254" i="5"/>
  <c r="G255" i="5" l="1"/>
  <c r="I255" i="5" l="1"/>
  <c r="H255" i="5"/>
  <c r="J255" i="5" l="1"/>
  <c r="K255" i="5"/>
  <c r="L255" i="5" l="1"/>
  <c r="P25" i="4" s="1"/>
  <c r="R25" i="4" s="1"/>
  <c r="T25" i="4" s="1"/>
  <c r="G256" i="5"/>
  <c r="U25" i="4" l="1"/>
  <c r="I256" i="5"/>
  <c r="H256" i="5"/>
  <c r="K256" i="5" l="1"/>
  <c r="J256" i="5"/>
  <c r="G257" i="5" l="1"/>
  <c r="I257" i="5" l="1"/>
  <c r="H257" i="5"/>
  <c r="J257" i="5" l="1"/>
  <c r="K257" i="5"/>
  <c r="G258" i="5" l="1"/>
  <c r="I258" i="5" l="1"/>
  <c r="H258" i="5"/>
  <c r="J258" i="5" l="1"/>
  <c r="K258" i="5"/>
  <c r="G259" i="5" l="1"/>
  <c r="I259" i="5" l="1"/>
  <c r="H259" i="5"/>
  <c r="J259" i="5" l="1"/>
  <c r="K259" i="5"/>
  <c r="G260" i="5" l="1"/>
  <c r="I260" i="5" l="1"/>
  <c r="H260" i="5"/>
  <c r="J260" i="5" l="1"/>
  <c r="K260" i="5"/>
  <c r="G261" i="5" l="1"/>
  <c r="I261" i="5" l="1"/>
  <c r="H261" i="5"/>
  <c r="J261" i="5" l="1"/>
  <c r="K261" i="5"/>
  <c r="G262" i="5" l="1"/>
  <c r="I262" i="5" l="1"/>
  <c r="H262" i="5"/>
  <c r="J262" i="5" l="1"/>
  <c r="K262" i="5"/>
  <c r="G263" i="5" l="1"/>
  <c r="I263" i="5" l="1"/>
  <c r="H263" i="5"/>
  <c r="J263" i="5" l="1"/>
  <c r="K263" i="5"/>
  <c r="G264" i="5" l="1"/>
  <c r="I264" i="5" l="1"/>
  <c r="H264" i="5"/>
  <c r="J264" i="5" l="1"/>
  <c r="K264" i="5"/>
  <c r="G265" i="5" l="1"/>
  <c r="I265" i="5" l="1"/>
  <c r="H265" i="5"/>
  <c r="J265" i="5" l="1"/>
  <c r="K265" i="5"/>
  <c r="G266" i="5" l="1"/>
  <c r="I266" i="5" l="1"/>
  <c r="H266" i="5"/>
  <c r="J266" i="5" l="1"/>
  <c r="K266" i="5"/>
  <c r="G267" i="5" l="1"/>
  <c r="I267" i="5" l="1"/>
  <c r="H267" i="5"/>
  <c r="J267" i="5" l="1"/>
  <c r="K267" i="5"/>
  <c r="L267" i="5" l="1"/>
  <c r="P26" i="4" s="1"/>
  <c r="R26" i="4" s="1"/>
  <c r="T26" i="4" s="1"/>
  <c r="G268" i="5"/>
  <c r="U26" i="4" l="1"/>
  <c r="I268" i="5"/>
  <c r="H268" i="5"/>
  <c r="K268" i="5" l="1"/>
  <c r="J268" i="5"/>
  <c r="G269" i="5" l="1"/>
  <c r="I269" i="5" l="1"/>
  <c r="H269" i="5"/>
  <c r="K269" i="5" l="1"/>
  <c r="J269" i="5"/>
  <c r="G270" i="5" l="1"/>
  <c r="I270" i="5" l="1"/>
  <c r="H270" i="5"/>
  <c r="K270" i="5" l="1"/>
  <c r="J270" i="5"/>
  <c r="G271" i="5" l="1"/>
  <c r="I271" i="5" l="1"/>
  <c r="H271" i="5"/>
  <c r="K271" i="5" l="1"/>
  <c r="J271" i="5"/>
  <c r="G272" i="5" l="1"/>
  <c r="I272" i="5" l="1"/>
  <c r="H272" i="5"/>
  <c r="K272" i="5" l="1"/>
  <c r="J272" i="5"/>
  <c r="G273" i="5" l="1"/>
  <c r="I273" i="5" l="1"/>
  <c r="H273" i="5"/>
  <c r="K273" i="5" l="1"/>
  <c r="J273" i="5"/>
  <c r="G274" i="5" l="1"/>
  <c r="I274" i="5" l="1"/>
  <c r="H274" i="5"/>
  <c r="K274" i="5" l="1"/>
  <c r="J274" i="5"/>
  <c r="G275" i="5" l="1"/>
  <c r="I275" i="5" l="1"/>
  <c r="H275" i="5"/>
  <c r="K275" i="5" l="1"/>
  <c r="J275" i="5"/>
  <c r="G276" i="5" l="1"/>
  <c r="I276" i="5" l="1"/>
  <c r="H276" i="5"/>
  <c r="K276" i="5" l="1"/>
  <c r="J276" i="5"/>
  <c r="G277" i="5" l="1"/>
  <c r="I277" i="5" l="1"/>
  <c r="H277" i="5"/>
  <c r="K277" i="5" l="1"/>
  <c r="J277" i="5"/>
  <c r="G278" i="5" l="1"/>
  <c r="I278" i="5" l="1"/>
  <c r="H278" i="5"/>
  <c r="K278" i="5" l="1"/>
  <c r="J278" i="5"/>
  <c r="G279" i="5" l="1"/>
  <c r="I279" i="5" l="1"/>
  <c r="H279" i="5"/>
  <c r="K279" i="5" l="1"/>
  <c r="J279" i="5"/>
  <c r="L279" i="5" l="1"/>
  <c r="P27" i="4" s="1"/>
  <c r="R27" i="4" s="1"/>
  <c r="T27" i="4" s="1"/>
  <c r="G280" i="5"/>
  <c r="U27" i="4" l="1"/>
  <c r="I280" i="5"/>
  <c r="H280" i="5"/>
  <c r="K280" i="5" l="1"/>
  <c r="J280" i="5"/>
  <c r="G281" i="5" l="1"/>
  <c r="I281" i="5" l="1"/>
  <c r="H281" i="5"/>
  <c r="K281" i="5" l="1"/>
  <c r="J281" i="5"/>
  <c r="G282" i="5" l="1"/>
  <c r="I282" i="5" l="1"/>
  <c r="H282" i="5"/>
  <c r="K282" i="5" l="1"/>
  <c r="J282" i="5"/>
  <c r="G283" i="5" l="1"/>
  <c r="I283" i="5" l="1"/>
  <c r="H283" i="5"/>
  <c r="K283" i="5" l="1"/>
  <c r="J283" i="5"/>
  <c r="G284" i="5" l="1"/>
  <c r="I284" i="5" l="1"/>
  <c r="H284" i="5"/>
  <c r="K284" i="5" l="1"/>
  <c r="J284" i="5"/>
  <c r="G285" i="5" l="1"/>
  <c r="I285" i="5" l="1"/>
  <c r="H285" i="5"/>
  <c r="K285" i="5" l="1"/>
  <c r="J285" i="5"/>
  <c r="G286" i="5" l="1"/>
  <c r="I286" i="5" l="1"/>
  <c r="H286" i="5"/>
  <c r="K286" i="5" l="1"/>
  <c r="J286" i="5"/>
  <c r="G287" i="5" l="1"/>
  <c r="I287" i="5" l="1"/>
  <c r="H287" i="5"/>
  <c r="K287" i="5" l="1"/>
  <c r="J287" i="5"/>
  <c r="G288" i="5" l="1"/>
  <c r="I288" i="5" l="1"/>
  <c r="H288" i="5"/>
  <c r="K288" i="5" l="1"/>
  <c r="J288" i="5"/>
  <c r="G289" i="5" l="1"/>
  <c r="I289" i="5" l="1"/>
  <c r="H289" i="5"/>
  <c r="J289" i="5" l="1"/>
  <c r="K289" i="5"/>
  <c r="G290" i="5" l="1"/>
  <c r="I290" i="5" l="1"/>
  <c r="H290" i="5"/>
  <c r="J290" i="5" l="1"/>
  <c r="K290" i="5"/>
  <c r="G291" i="5" l="1"/>
  <c r="I291" i="5" l="1"/>
  <c r="H291" i="5"/>
  <c r="J291" i="5" l="1"/>
  <c r="K291" i="5"/>
  <c r="L291" i="5" l="1"/>
  <c r="P28" i="4" s="1"/>
  <c r="R28" i="4" s="1"/>
  <c r="T28" i="4" s="1"/>
  <c r="G292" i="5"/>
  <c r="U28" i="4" l="1"/>
  <c r="I292" i="5"/>
  <c r="H292" i="5"/>
  <c r="J292" i="5" l="1"/>
  <c r="K292" i="5"/>
  <c r="G293" i="5" l="1"/>
  <c r="I293" i="5" l="1"/>
  <c r="H293" i="5"/>
  <c r="J293" i="5" l="1"/>
  <c r="K293" i="5"/>
  <c r="G294" i="5" l="1"/>
  <c r="I294" i="5" l="1"/>
  <c r="H294" i="5"/>
  <c r="J294" i="5" l="1"/>
  <c r="K294" i="5"/>
  <c r="G295" i="5" l="1"/>
  <c r="I295" i="5" l="1"/>
  <c r="H295" i="5"/>
  <c r="J295" i="5" l="1"/>
  <c r="K295" i="5"/>
  <c r="G296" i="5" l="1"/>
  <c r="I296" i="5" l="1"/>
  <c r="H296" i="5"/>
  <c r="J296" i="5" l="1"/>
  <c r="K296" i="5"/>
  <c r="G297" i="5" l="1"/>
  <c r="I297" i="5" l="1"/>
  <c r="H297" i="5"/>
  <c r="K297" i="5" l="1"/>
  <c r="J297" i="5"/>
  <c r="G298" i="5" l="1"/>
  <c r="I298" i="5" l="1"/>
  <c r="H298" i="5"/>
  <c r="J298" i="5" l="1"/>
  <c r="K298" i="5"/>
  <c r="G299" i="5" l="1"/>
  <c r="I299" i="5" l="1"/>
  <c r="H299" i="5"/>
  <c r="J299" i="5" l="1"/>
  <c r="K299" i="5"/>
  <c r="G300" i="5" l="1"/>
  <c r="I300" i="5" l="1"/>
  <c r="H300" i="5"/>
  <c r="J300" i="5" l="1"/>
  <c r="K300" i="5"/>
  <c r="G301" i="5" l="1"/>
  <c r="I301" i="5" l="1"/>
  <c r="H301" i="5"/>
  <c r="J301" i="5" l="1"/>
  <c r="K301" i="5"/>
  <c r="G302" i="5" l="1"/>
  <c r="I302" i="5" l="1"/>
  <c r="H302" i="5"/>
  <c r="J302" i="5" l="1"/>
  <c r="K302" i="5"/>
  <c r="G303" i="5" l="1"/>
  <c r="I303" i="5" s="1"/>
  <c r="H303" i="5" l="1"/>
  <c r="J303" i="5" l="1"/>
  <c r="K303" i="5"/>
  <c r="L303" i="5" s="1"/>
  <c r="P29" i="4" s="1"/>
  <c r="R29" i="4" s="1"/>
  <c r="T29" i="4" s="1"/>
  <c r="U29" i="4" l="1"/>
</calcChain>
</file>

<file path=xl/comments1.xml><?xml version="1.0" encoding="utf-8"?>
<comments xmlns="http://schemas.openxmlformats.org/spreadsheetml/2006/main">
  <authors>
    <author>JS</author>
  </authors>
  <commentList>
    <comment ref="B2" authorId="0">
      <text>
        <r>
          <rPr>
            <b/>
            <sz val="9"/>
            <color indexed="81"/>
            <rFont val="Tahoma"/>
            <family val="2"/>
          </rPr>
          <t>JS:</t>
        </r>
        <r>
          <rPr>
            <sz val="9"/>
            <color indexed="81"/>
            <rFont val="Tahoma"/>
            <family val="2"/>
          </rPr>
          <t xml:space="preserve">
Source: https://educationfinance.ca/financement/le-vrai-cout-dune-hypotheque/
</t>
        </r>
      </text>
    </comment>
    <comment ref="B18" authorId="0">
      <text>
        <r>
          <rPr>
            <b/>
            <sz val="9"/>
            <color indexed="81"/>
            <rFont val="Tahoma"/>
            <family val="2"/>
          </rPr>
          <t>JS:</t>
        </r>
        <r>
          <rPr>
            <sz val="9"/>
            <color indexed="81"/>
            <rFont val="Tahoma"/>
            <family val="2"/>
          </rPr>
          <t xml:space="preserve">
Source: https://www.cmhc-schl.gc.ca/fr/finance-and-investing/mortgage-loan-insurance/mortgage-loan-insurance-homeownership-programs/cmhc-mortgage-loan-insurance-cost
</t>
        </r>
      </text>
    </comment>
  </commentList>
</comments>
</file>

<file path=xl/sharedStrings.xml><?xml version="1.0" encoding="utf-8"?>
<sst xmlns="http://schemas.openxmlformats.org/spreadsheetml/2006/main" count="88" uniqueCount="80">
  <si>
    <t>Année</t>
  </si>
  <si>
    <t>Taxes foncières</t>
  </si>
  <si>
    <t>Loyer</t>
  </si>
  <si>
    <t>Versements hypothécaires</t>
  </si>
  <si>
    <t>Mise de fonds investie</t>
  </si>
  <si>
    <t>LOCATION</t>
  </si>
  <si>
    <t>ACHAT</t>
  </si>
  <si>
    <t>Commission courtier</t>
  </si>
  <si>
    <t>Valeur de revente</t>
  </si>
  <si>
    <t>Frais totaux</t>
  </si>
  <si>
    <t>Frais condo</t>
  </si>
  <si>
    <t>Versement mensuel</t>
  </si>
  <si>
    <t>Loyer mensuel:</t>
  </si>
  <si>
    <t>Prix de la propriété:</t>
  </si>
  <si>
    <t>Mise de fonds:</t>
  </si>
  <si>
    <t>Nb d'années du prêt hypothécaire:</t>
  </si>
  <si>
    <t>Taux d'intérêt du prêt hypothécaire:</t>
  </si>
  <si>
    <t>Taxes foncières annuelles:</t>
  </si>
  <si>
    <t>Commission du courtier immobilier:</t>
  </si>
  <si>
    <t>Assurance prêt hypothécaire (SCHL):</t>
  </si>
  <si>
    <t>Taux d'intérêt annuel (nominal):</t>
  </si>
  <si>
    <t>Taux d'intérêt biannuel:</t>
  </si>
  <si>
    <t>Taux d'intérêt annuel réel (effectif):</t>
  </si>
  <si>
    <t>Taux d'intérêt périodique (par mois):</t>
  </si>
  <si>
    <t>Mois</t>
  </si>
  <si>
    <t>Capital payé pour mois</t>
  </si>
  <si>
    <t>Capital payé cummulatif</t>
  </si>
  <si>
    <t>Intérêts payés pour  mois</t>
  </si>
  <si>
    <t>Intérêts payés cummulatifs</t>
  </si>
  <si>
    <t>Solde hypothèque mensuel</t>
  </si>
  <si>
    <t>Solde hypothécaire annuel</t>
  </si>
  <si>
    <t>Versement hypothécaire mensuel</t>
  </si>
  <si>
    <t>Montant total du prêt:</t>
  </si>
  <si>
    <t>Montant total des intérêts:</t>
  </si>
  <si>
    <t>Versement mensuel:</t>
  </si>
  <si>
    <t>Durée du prêt (en mois):</t>
  </si>
  <si>
    <t>Sous-total:</t>
  </si>
  <si>
    <t>Épargnes investies</t>
  </si>
  <si>
    <t>Autres frais</t>
  </si>
  <si>
    <t>Solde hypothècaire</t>
  </si>
  <si>
    <t>Frais démarrage Investis</t>
  </si>
  <si>
    <t>Épargnes annuelles</t>
  </si>
  <si>
    <t>Frais de condo mensuels:</t>
  </si>
  <si>
    <t>Actif</t>
  </si>
  <si>
    <t>Louer ou acheter une propriété?</t>
  </si>
  <si>
    <t>Ratio entre le prêt et le prix de la propriété:</t>
  </si>
  <si>
    <t>Prime d’assurance prêt hypothécaire (SCHL):</t>
  </si>
  <si>
    <t>Montant du prêt, après la mise de fonds:</t>
  </si>
  <si>
    <t>Prime d'assurance SCHL</t>
  </si>
  <si>
    <t>Prime de 0.6%  pour un ratio de 65% ou moins</t>
  </si>
  <si>
    <t>Prime de 1.7% pour un ratio de 75% ou moins</t>
  </si>
  <si>
    <t>Prime de 2.4% pour un ratio de 80% ou moins</t>
  </si>
  <si>
    <t>Prime de 2.8% pour un ratio de 85% ou moins</t>
  </si>
  <si>
    <t>Prime de 3.1% pour un ratio de 90% ou moins</t>
  </si>
  <si>
    <t>Prime de 4% pour un ratio de 95% ou moins</t>
  </si>
  <si>
    <t>Est-ce que l'assurance SCHL est requise?</t>
  </si>
  <si>
    <t>HYPOTHÈSES</t>
  </si>
  <si>
    <t>Le versement hypothécaire est payé une fois par mois.</t>
  </si>
  <si>
    <t>La propriété achetée n'est pas une proriété neuve, donc il n'y a aucunes taxes appliquées sur le prix d'achat.</t>
  </si>
  <si>
    <t>L'intérêt sur le prêt hypothécaire est à taux fixe et composé semestriellement.</t>
  </si>
  <si>
    <t>Si la mise de fonds est moins de 20% du prix d'achat, une prime d'assurance hypothécaire (SCHL) est ajoutée.</t>
  </si>
  <si>
    <t>La commission du courtier immobilier est assujettie aux taxes provinciales et fédérales.</t>
  </si>
  <si>
    <t>Dans le cas d'une location, la mise de fonds, le montant des frais de démarrage et la différence entre le loyer mensuel et le versement hypothécaire mensuel sont investis en bourse.</t>
  </si>
  <si>
    <t>Dans le cas d'un achat, une fois le prêt hypothécaire complètement remboursé, la somme précédemment consacrée au remboursement mensuel du prêt hypothécaire est investie en bourse.</t>
  </si>
  <si>
    <t>Les gains éventuels réalisés sur la valeur de la résidence ou en bourse ne sont pas imposés.</t>
  </si>
  <si>
    <t>CRÉDIT</t>
  </si>
  <si>
    <t>AVIS IMPORTANT</t>
  </si>
  <si>
    <t>http://www.jeuneretraite.ca/</t>
  </si>
  <si>
    <t>Cet outil ne devrait pas être utilisé pour prendre des décisions financières. Faites vos propres calculs ou faites appel à un professionnel.</t>
  </si>
  <si>
    <t>Cet outil a été réalisé avec amour par Le jeune retraité. ;)</t>
  </si>
  <si>
    <t>Écart</t>
  </si>
  <si>
    <t>Choix avantageux</t>
  </si>
  <si>
    <t>Augmentation annuelle du loyer:</t>
  </si>
  <si>
    <t>Augmentation annuelle de valeur de la propriété:</t>
  </si>
  <si>
    <t>Frais de démarrage (notaire, inspection, taxe, etc.):</t>
  </si>
  <si>
    <t>Autres frais mensuels (entretien, assurance, etc.):</t>
  </si>
  <si>
    <t>Taux d'inflation annuel:</t>
  </si>
  <si>
    <t>Rendement des placements en bourse:</t>
  </si>
  <si>
    <t>Le graphique ci-dessous illustre l'augmentation de l'actif selon l'option choisie</t>
  </si>
  <si>
    <t>Taux d'intérêt effectif mensuel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</si>
</sst>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2" formatCode="_-&quot;$&quot;* #,##0_-;\-&quot;$&quot;* #,##0_-;_-&quot;$&quot;* &quot;-&quot;_-;_-@_-"/>
    <numFmt numFmtId="164" formatCode="0.0%"/>
    <numFmt numFmtId="165" formatCode="&quot;$&quot;#,##0"/>
    <numFmt numFmtId="166" formatCode="0.000000%"/>
    <numFmt numFmtId="167" formatCode="&quot;$&quot;#,##0.00"/>
  </numFmts>
  <fonts count="11" x14ac:knownFonts="1">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sz val="14"/>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9"/>
      <color indexed="81"/>
      <name val="Tahoma"/>
      <family val="2"/>
    </font>
    <font>
      <b/>
      <sz val="9"/>
      <color indexed="81"/>
      <name val="Tahoma"/>
      <family val="2"/>
    </font>
    <font>
      <b/>
      <sz val="2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rgb="FFACF68E"/>
        <bgColor indexed="64"/>
      </patternFill>
    </fill>
    <fill>
      <patternFill patternType="solid">
        <fgColor rgb="FF009A46"/>
        <bgColor indexed="64"/>
      </patternFill>
    </fill>
    <fill>
      <patternFill patternType="solid">
        <fgColor theme="3"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12">
    <xf numFmtId="0" fontId="0" fillId="0" borderId="0" xfId="0"/>
    <xf numFmtId="0" fontId="3" fillId="2" borderId="0" xfId="0" applyFont="1" applyFill="1" applyAlignment="1"/>
    <xf numFmtId="0" fontId="4" fillId="2" borderId="0" xfId="0" applyFont="1" applyFill="1"/>
    <xf numFmtId="0" fontId="0" fillId="2" borderId="0" xfId="0" applyFill="1"/>
    <xf numFmtId="0" fontId="1" fillId="2" borderId="0" xfId="0" applyFont="1" applyFill="1"/>
    <xf numFmtId="42" fontId="1" fillId="2" borderId="0" xfId="0" applyNumberFormat="1" applyFont="1" applyFill="1"/>
    <xf numFmtId="0" fontId="0" fillId="2" borderId="0" xfId="0" applyFill="1" applyBorder="1"/>
    <xf numFmtId="0" fontId="6" fillId="2" borderId="0" xfId="0" applyFont="1" applyFill="1" applyAlignment="1">
      <alignment horizontal="center"/>
    </xf>
    <xf numFmtId="165" fontId="0" fillId="2" borderId="0" xfId="0" applyNumberFormat="1" applyFill="1"/>
    <xf numFmtId="42" fontId="0" fillId="2" borderId="0" xfId="0" applyNumberFormat="1" applyFill="1"/>
    <xf numFmtId="164" fontId="0" fillId="2" borderId="0" xfId="0" applyNumberFormat="1" applyFill="1"/>
    <xf numFmtId="167" fontId="0" fillId="2" borderId="0" xfId="0" applyNumberFormat="1" applyFill="1"/>
    <xf numFmtId="0" fontId="0" fillId="2" borderId="0" xfId="0" applyFill="1" applyAlignment="1">
      <alignment horizontal="left"/>
    </xf>
    <xf numFmtId="0" fontId="7" fillId="2" borderId="0" xfId="1" applyFill="1" applyBorder="1"/>
    <xf numFmtId="165" fontId="0" fillId="2" borderId="0" xfId="0" applyNumberFormat="1" applyFill="1" applyBorder="1"/>
    <xf numFmtId="0" fontId="0" fillId="4" borderId="4" xfId="0" applyFill="1" applyBorder="1"/>
    <xf numFmtId="42" fontId="0" fillId="4" borderId="0" xfId="0" applyNumberFormat="1" applyFill="1" applyBorder="1"/>
    <xf numFmtId="0" fontId="1" fillId="5" borderId="4" xfId="0" applyFont="1" applyFill="1" applyBorder="1"/>
    <xf numFmtId="0" fontId="1" fillId="5" borderId="0" xfId="0" applyFont="1" applyFill="1" applyBorder="1"/>
    <xf numFmtId="0" fontId="0" fillId="2" borderId="0" xfId="0" applyFill="1" applyAlignment="1">
      <alignment horizontal="center"/>
    </xf>
    <xf numFmtId="0" fontId="1" fillId="4" borderId="0" xfId="0" applyFont="1" applyFill="1" applyBorder="1" applyAlignment="1">
      <alignment horizontal="left"/>
    </xf>
    <xf numFmtId="165" fontId="1" fillId="5" borderId="8" xfId="0" applyNumberFormat="1" applyFont="1" applyFill="1" applyBorder="1"/>
    <xf numFmtId="0" fontId="5" fillId="2" borderId="0" xfId="0" applyFont="1" applyFill="1" applyAlignment="1">
      <alignment horizontal="center" vertical="center"/>
    </xf>
    <xf numFmtId="0" fontId="1" fillId="4" borderId="9" xfId="0" applyFont="1" applyFill="1" applyBorder="1" applyAlignment="1">
      <alignment horizontal="center" vertical="center" wrapText="1"/>
    </xf>
    <xf numFmtId="42" fontId="1" fillId="4" borderId="9" xfId="0" applyNumberFormat="1" applyFont="1" applyFill="1" applyBorder="1" applyAlignment="1">
      <alignment horizontal="center" vertical="center" wrapText="1"/>
    </xf>
    <xf numFmtId="0" fontId="0" fillId="2" borderId="0" xfId="0" applyFill="1" applyAlignment="1">
      <alignment horizontal="center" vertical="center" wrapText="1"/>
    </xf>
    <xf numFmtId="0" fontId="1" fillId="5" borderId="9" xfId="0" applyFont="1" applyFill="1" applyBorder="1" applyAlignment="1">
      <alignment horizontal="center" vertical="center" wrapText="1"/>
    </xf>
    <xf numFmtId="42" fontId="1" fillId="5" borderId="9" xfId="0" applyNumberFormat="1" applyFont="1" applyFill="1" applyBorder="1" applyAlignment="1">
      <alignment horizontal="center" vertical="center" wrapText="1"/>
    </xf>
    <xf numFmtId="0" fontId="0" fillId="2" borderId="0" xfId="0" applyFill="1" applyAlignment="1">
      <alignment horizontal="center" vertical="center"/>
    </xf>
    <xf numFmtId="42" fontId="1" fillId="4" borderId="5" xfId="0" applyNumberFormat="1" applyFont="1" applyFill="1" applyBorder="1"/>
    <xf numFmtId="42" fontId="0" fillId="4" borderId="4" xfId="0" applyNumberFormat="1" applyFill="1" applyBorder="1"/>
    <xf numFmtId="5" fontId="0" fillId="2" borderId="12" xfId="0" applyNumberFormat="1" applyFill="1" applyBorder="1"/>
    <xf numFmtId="9" fontId="0" fillId="2" borderId="12" xfId="0" applyNumberFormat="1" applyFill="1" applyBorder="1"/>
    <xf numFmtId="165" fontId="0" fillId="5" borderId="10" xfId="0" applyNumberFormat="1" applyFill="1" applyBorder="1" applyAlignment="1">
      <alignment horizontal="left"/>
    </xf>
    <xf numFmtId="165" fontId="0" fillId="5" borderId="11" xfId="0" applyNumberFormat="1" applyFill="1" applyBorder="1" applyAlignment="1">
      <alignment horizontal="left"/>
    </xf>
    <xf numFmtId="0" fontId="0" fillId="4" borderId="10" xfId="0" applyFill="1" applyBorder="1" applyAlignment="1">
      <alignment horizontal="left" vertical="center"/>
    </xf>
    <xf numFmtId="5" fontId="0" fillId="4" borderId="10" xfId="0" applyNumberFormat="1" applyFill="1" applyBorder="1" applyAlignment="1">
      <alignment horizontal="left" vertical="center"/>
    </xf>
    <xf numFmtId="5" fontId="1" fillId="4" borderId="10" xfId="0" applyNumberFormat="1" applyFont="1" applyFill="1" applyBorder="1" applyAlignment="1">
      <alignment horizontal="left" vertical="center"/>
    </xf>
    <xf numFmtId="0" fontId="0" fillId="2" borderId="0" xfId="0" applyFill="1" applyAlignment="1">
      <alignment horizontal="left" vertical="center"/>
    </xf>
    <xf numFmtId="165" fontId="0" fillId="5" borderId="10" xfId="0" applyNumberFormat="1" applyFill="1" applyBorder="1" applyAlignment="1">
      <alignment horizontal="left" vertical="center"/>
    </xf>
    <xf numFmtId="165" fontId="1" fillId="5" borderId="10" xfId="0" applyNumberFormat="1" applyFont="1" applyFill="1" applyBorder="1" applyAlignment="1">
      <alignment horizontal="left" vertical="center"/>
    </xf>
    <xf numFmtId="5" fontId="0" fillId="4" borderId="11" xfId="0" applyNumberFormat="1" applyFill="1" applyBorder="1" applyAlignment="1">
      <alignment horizontal="left" vertical="center"/>
    </xf>
    <xf numFmtId="5" fontId="1" fillId="4" borderId="11" xfId="0" applyNumberFormat="1" applyFont="1" applyFill="1" applyBorder="1" applyAlignment="1">
      <alignment horizontal="left" vertical="center"/>
    </xf>
    <xf numFmtId="165" fontId="0" fillId="5" borderId="11" xfId="0" applyNumberFormat="1" applyFill="1" applyBorder="1" applyAlignment="1">
      <alignment horizontal="left" vertical="center"/>
    </xf>
    <xf numFmtId="165" fontId="1" fillId="5" borderId="11" xfId="0" applyNumberFormat="1" applyFont="1" applyFill="1" applyBorder="1" applyAlignment="1">
      <alignment horizontal="left" vertical="center"/>
    </xf>
    <xf numFmtId="0" fontId="1" fillId="5" borderId="5" xfId="0" applyFont="1" applyFill="1" applyBorder="1"/>
    <xf numFmtId="0" fontId="1" fillId="5" borderId="6" xfId="0" applyFont="1" applyFill="1" applyBorder="1"/>
    <xf numFmtId="165" fontId="0" fillId="5" borderId="4" xfId="0" applyNumberFormat="1" applyFill="1" applyBorder="1" applyAlignment="1">
      <alignment horizontal="left" vertical="center"/>
    </xf>
    <xf numFmtId="0" fontId="0" fillId="2" borderId="12" xfId="0" applyFont="1" applyFill="1" applyBorder="1"/>
    <xf numFmtId="10" fontId="0" fillId="2" borderId="12" xfId="0" applyNumberFormat="1" applyFill="1" applyBorder="1"/>
    <xf numFmtId="5" fontId="0" fillId="4" borderId="1" xfId="0" applyNumberFormat="1" applyFill="1" applyBorder="1"/>
    <xf numFmtId="0" fontId="1" fillId="4" borderId="2" xfId="0" applyFont="1" applyFill="1" applyBorder="1"/>
    <xf numFmtId="0" fontId="1" fillId="4" borderId="3" xfId="0" applyFont="1" applyFill="1" applyBorder="1"/>
    <xf numFmtId="0" fontId="0" fillId="5" borderId="4" xfId="0" applyFill="1" applyBorder="1"/>
    <xf numFmtId="10" fontId="0" fillId="5" borderId="5" xfId="0" applyNumberFormat="1" applyFill="1" applyBorder="1"/>
    <xf numFmtId="166" fontId="0" fillId="5" borderId="5" xfId="0" applyNumberFormat="1" applyFill="1" applyBorder="1"/>
    <xf numFmtId="166" fontId="1" fillId="5" borderId="8" xfId="0" applyNumberFormat="1" applyFont="1" applyFill="1" applyBorder="1"/>
    <xf numFmtId="0" fontId="0" fillId="5" borderId="1" xfId="0" applyFill="1" applyBorder="1"/>
    <xf numFmtId="10" fontId="0" fillId="5" borderId="3" xfId="0" applyNumberFormat="1" applyFill="1" applyBorder="1"/>
    <xf numFmtId="165" fontId="0" fillId="5" borderId="5" xfId="0" applyNumberFormat="1" applyFill="1" applyBorder="1"/>
    <xf numFmtId="3" fontId="0" fillId="5" borderId="5" xfId="0" applyNumberFormat="1" applyFill="1" applyBorder="1"/>
    <xf numFmtId="165" fontId="0" fillId="5" borderId="3" xfId="0" applyNumberFormat="1" applyFill="1" applyBorder="1"/>
    <xf numFmtId="0" fontId="2" fillId="6" borderId="15" xfId="0" applyFont="1" applyFill="1" applyBorder="1" applyAlignment="1">
      <alignment horizontal="center" vertical="center" wrapText="1"/>
    </xf>
    <xf numFmtId="0" fontId="0" fillId="5" borderId="4" xfId="0" applyFill="1" applyBorder="1" applyAlignment="1">
      <alignment horizontal="center"/>
    </xf>
    <xf numFmtId="0" fontId="0" fillId="5" borderId="6" xfId="0" applyFill="1" applyBorder="1" applyAlignment="1">
      <alignment horizontal="center"/>
    </xf>
    <xf numFmtId="0" fontId="0" fillId="5" borderId="9" xfId="0" applyFill="1" applyBorder="1" applyAlignment="1">
      <alignment horizontal="left"/>
    </xf>
    <xf numFmtId="165" fontId="0" fillId="5" borderId="9" xfId="0" applyNumberFormat="1" applyFill="1" applyBorder="1" applyAlignment="1">
      <alignment horizontal="left"/>
    </xf>
    <xf numFmtId="0" fontId="0" fillId="5" borderId="10" xfId="0" applyFill="1" applyBorder="1" applyAlignment="1">
      <alignment horizontal="left"/>
    </xf>
    <xf numFmtId="0" fontId="2" fillId="6" borderId="12" xfId="0" applyFont="1" applyFill="1" applyBorder="1" applyAlignment="1">
      <alignment horizontal="center" vertical="center" wrapText="1"/>
    </xf>
    <xf numFmtId="0" fontId="0" fillId="5" borderId="7" xfId="0" applyFill="1" applyBorder="1"/>
    <xf numFmtId="0" fontId="0" fillId="5" borderId="8" xfId="0" applyFill="1" applyBorder="1"/>
    <xf numFmtId="42" fontId="0" fillId="7" borderId="4" xfId="0" applyNumberFormat="1" applyFill="1" applyBorder="1"/>
    <xf numFmtId="0" fontId="1" fillId="7" borderId="0" xfId="0" applyFont="1" applyFill="1" applyBorder="1" applyAlignment="1">
      <alignment horizontal="left"/>
    </xf>
    <xf numFmtId="42" fontId="1" fillId="7" borderId="5" xfId="0" applyNumberFormat="1" applyFont="1" applyFill="1" applyBorder="1"/>
    <xf numFmtId="42" fontId="0" fillId="7" borderId="6" xfId="0" applyNumberFormat="1" applyFill="1" applyBorder="1"/>
    <xf numFmtId="42" fontId="0" fillId="7" borderId="7" xfId="0" applyNumberFormat="1" applyFill="1" applyBorder="1"/>
    <xf numFmtId="42" fontId="1" fillId="7" borderId="8" xfId="0" applyNumberFormat="1" applyFont="1" applyFill="1" applyBorder="1"/>
    <xf numFmtId="0" fontId="0" fillId="5" borderId="6" xfId="0" applyFill="1" applyBorder="1"/>
    <xf numFmtId="0" fontId="2" fillId="2" borderId="4" xfId="0" applyFont="1" applyFill="1" applyBorder="1" applyAlignment="1"/>
    <xf numFmtId="0" fontId="5" fillId="2" borderId="0" xfId="0" applyFont="1" applyFill="1" applyBorder="1" applyAlignment="1">
      <alignment horizontal="center" vertical="center"/>
    </xf>
    <xf numFmtId="9" fontId="0" fillId="5" borderId="5" xfId="0" applyNumberFormat="1" applyFill="1" applyBorder="1"/>
    <xf numFmtId="0" fontId="0" fillId="2" borderId="0" xfId="0" applyNumberFormat="1" applyFill="1" applyBorder="1"/>
    <xf numFmtId="9" fontId="0" fillId="5" borderId="5" xfId="0" applyNumberFormat="1" applyFill="1" applyBorder="1" applyAlignment="1">
      <alignment horizontal="right"/>
    </xf>
    <xf numFmtId="0" fontId="7" fillId="2" borderId="0" xfId="1" applyFill="1"/>
    <xf numFmtId="0" fontId="4" fillId="2" borderId="0" xfId="0" applyFont="1" applyFill="1" applyBorder="1" applyAlignment="1"/>
    <xf numFmtId="0" fontId="10" fillId="2" borderId="0" xfId="0" applyFont="1" applyFill="1" applyBorder="1" applyAlignment="1"/>
    <xf numFmtId="0" fontId="4" fillId="2" borderId="0" xfId="0" applyFont="1" applyFill="1" applyBorder="1" applyAlignment="1">
      <alignment horizontal="center"/>
    </xf>
    <xf numFmtId="0" fontId="2" fillId="2" borderId="0" xfId="0" applyFont="1" applyFill="1" applyBorder="1" applyAlignment="1">
      <alignment horizontal="center"/>
    </xf>
    <xf numFmtId="42" fontId="1" fillId="2" borderId="0" xfId="0" applyNumberFormat="1" applyFont="1" applyFill="1" applyBorder="1" applyAlignment="1">
      <alignment horizontal="center" vertical="center" wrapText="1"/>
    </xf>
    <xf numFmtId="165" fontId="1" fillId="2" borderId="0" xfId="0" applyNumberFormat="1" applyFont="1" applyFill="1" applyBorder="1" applyAlignment="1">
      <alignment horizontal="left" vertical="center"/>
    </xf>
    <xf numFmtId="0" fontId="3" fillId="2" borderId="0" xfId="0" applyFont="1" applyFill="1" applyAlignment="1">
      <alignment horizontal="center"/>
    </xf>
    <xf numFmtId="0" fontId="2" fillId="2" borderId="0" xfId="0" applyFont="1" applyFill="1" applyBorder="1" applyAlignment="1">
      <alignment horizontal="center" vertical="center"/>
    </xf>
    <xf numFmtId="5" fontId="1" fillId="2" borderId="0" xfId="0" applyNumberFormat="1" applyFont="1" applyFill="1" applyBorder="1" applyAlignment="1">
      <alignment horizontal="center" vertical="center"/>
    </xf>
    <xf numFmtId="0" fontId="1" fillId="2" borderId="0" xfId="0" applyFont="1" applyFill="1" applyAlignment="1">
      <alignment horizontal="center"/>
    </xf>
    <xf numFmtId="5" fontId="0" fillId="2" borderId="9" xfId="0" applyNumberFormat="1" applyFont="1" applyFill="1" applyBorder="1" applyAlignment="1">
      <alignment horizontal="center" vertical="center"/>
    </xf>
    <xf numFmtId="5" fontId="0" fillId="2" borderId="12" xfId="0" applyNumberFormat="1" applyFont="1" applyFill="1" applyBorder="1" applyAlignment="1">
      <alignment horizontal="center" vertical="center"/>
    </xf>
    <xf numFmtId="0" fontId="1" fillId="8" borderId="0" xfId="0" applyFont="1" applyFill="1"/>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5" xfId="0" applyFont="1" applyFill="1" applyBorder="1" applyAlignment="1">
      <alignment horizontal="center"/>
    </xf>
    <xf numFmtId="0" fontId="10" fillId="2" borderId="0"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13" xfId="0" applyFont="1" applyFill="1" applyBorder="1" applyAlignment="1">
      <alignment horizontal="center" vertical="center"/>
    </xf>
    <xf numFmtId="0" fontId="2" fillId="6" borderId="15" xfId="0" applyFont="1" applyFill="1" applyBorder="1" applyAlignment="1">
      <alignment horizontal="center" vertical="center"/>
    </xf>
  </cellXfs>
  <cellStyles count="2">
    <cellStyle name="Lien hypertexte" xfId="1" builtinId="8"/>
    <cellStyle name="Normal" xfId="0" builtinId="0"/>
  </cellStyles>
  <dxfs count="2">
    <dxf>
      <fill>
        <patternFill>
          <bgColor theme="8" tint="0.39994506668294322"/>
        </patternFill>
      </fill>
    </dxf>
    <dxf>
      <fill>
        <patternFill>
          <bgColor rgb="FFACF68E"/>
        </patternFill>
      </fill>
    </dxf>
  </dxfs>
  <tableStyles count="0" defaultTableStyle="TableStyleMedium2" defaultPivotStyle="PivotStyleLight16"/>
  <colors>
    <mruColors>
      <color rgb="FFACF68E"/>
      <color rgb="FF97F472"/>
      <color rgb="FF009A46"/>
      <color rgb="FF00823B"/>
      <color rgb="FF69FD97"/>
      <color rgb="FF66FF66"/>
      <color rgb="FF66FF99"/>
      <color rgb="FF415E2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Location</c:v>
          </c:tx>
          <c:spPr>
            <a:ln w="57150">
              <a:solidFill>
                <a:schemeClr val="tx2">
                  <a:lumMod val="60000"/>
                  <a:lumOff val="40000"/>
                </a:schemeClr>
              </a:solidFill>
            </a:ln>
          </c:spPr>
          <c:marker>
            <c:symbol val="none"/>
          </c:marker>
          <c:cat>
            <c:numRef>
              <c:f>'TABLEAU COMPARATIF'!$A$4:$A$34</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'TABLEAU COMPARATIF'!$G$4:$G$34</c:f>
              <c:numCache>
                <c:formatCode># ##0\ "$"_);\(# ##0\ "$"\)</c:formatCode>
                <c:ptCount val="31"/>
                <c:pt idx="0">
                  <c:v>57000</c:v>
                </c:pt>
                <c:pt idx="1">
                  <c:v>73316.714573894802</c:v>
                </c:pt>
                <c:pt idx="2">
                  <c:v>90689.599167962268</c:v>
                </c:pt>
                <c:pt idx="3">
                  <c:v>109190.86568361442</c:v>
                </c:pt>
                <c:pt idx="4">
                  <c:v>128897.74645536226</c:v>
                </c:pt>
                <c:pt idx="5">
                  <c:v>149892.84499313246</c:v>
                </c:pt>
                <c:pt idx="6">
                  <c:v>172264.51126278655</c:v>
                </c:pt>
                <c:pt idx="7">
                  <c:v>196107.24322224123</c:v>
                </c:pt>
                <c:pt idx="8">
                  <c:v>221522.11645080103</c:v>
                </c:pt>
                <c:pt idx="9">
                  <c:v>248617.24383794219</c:v>
                </c:pt>
                <c:pt idx="10">
                  <c:v>277508.26743541699</c:v>
                </c:pt>
                <c:pt idx="11">
                  <c:v>308318.88472381351</c:v>
                </c:pt>
                <c:pt idx="12">
                  <c:v>341181.4117022783</c:v>
                </c:pt>
                <c:pt idx="13">
                  <c:v>376237.38537871372</c:v>
                </c:pt>
                <c:pt idx="14">
                  <c:v>413638.20841816714</c:v>
                </c:pt>
                <c:pt idx="15">
                  <c:v>453545.8389001633</c:v>
                </c:pt>
                <c:pt idx="16">
                  <c:v>496133.52834227582</c:v>
                </c:pt>
                <c:pt idx="17">
                  <c:v>541586.61136824032</c:v>
                </c:pt>
                <c:pt idx="18">
                  <c:v>590103.35063538456</c:v>
                </c:pt>
                <c:pt idx="19">
                  <c:v>641895.84088917845</c:v>
                </c:pt>
                <c:pt idx="20">
                  <c:v>697190.97628344619</c:v>
                </c:pt>
                <c:pt idx="21">
                  <c:v>756231.4853944754</c:v>
                </c:pt>
                <c:pt idx="22">
                  <c:v>819277.03866722248</c:v>
                </c:pt>
                <c:pt idx="23">
                  <c:v>886605.43336348678</c:v>
                </c:pt>
                <c:pt idx="24">
                  <c:v>958513.86143680254</c:v>
                </c:pt>
                <c:pt idx="25">
                  <c:v>1035320.2661385301</c:v>
                </c:pt>
                <c:pt idx="26">
                  <c:v>1107792.6847682274</c:v>
                </c:pt>
                <c:pt idx="27">
                  <c:v>1185338.1727020033</c:v>
                </c:pt>
                <c:pt idx="28">
                  <c:v>1268311.8447911437</c:v>
                </c:pt>
                <c:pt idx="29">
                  <c:v>1357093.6739265239</c:v>
                </c:pt>
                <c:pt idx="30">
                  <c:v>1452090.2311013807</c:v>
                </c:pt>
              </c:numCache>
            </c:numRef>
          </c:val>
          <c:smooth val="0"/>
        </c:ser>
        <c:ser>
          <c:idx val="1"/>
          <c:order val="1"/>
          <c:tx>
            <c:v>Achat</c:v>
          </c:tx>
          <c:spPr>
            <a:ln w="57150">
              <a:solidFill>
                <a:srgbClr val="97F472"/>
              </a:solidFill>
            </a:ln>
          </c:spPr>
          <c:marker>
            <c:symbol val="none"/>
          </c:marker>
          <c:cat>
            <c:numRef>
              <c:f>'TABLEAU COMPARATIF'!$A$4:$A$34</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'TABLEAU COMPARATIF'!$R$4:$R$34</c:f>
              <c:numCache>
                <c:formatCode>"$"# ##0</c:formatCode>
                <c:ptCount val="31"/>
                <c:pt idx="0">
                  <c:v>20579.375</c:v>
                </c:pt>
                <c:pt idx="1">
                  <c:v>42811.281638802626</c:v>
                </c:pt>
                <c:pt idx="2">
                  <c:v>65798.325557893957</c:v>
                </c:pt>
                <c:pt idx="3">
                  <c:v>89567.337814637373</c:v>
                </c:pt>
                <c:pt idx="4">
                  <c:v>114146.13782058956</c:v>
                </c:pt>
                <c:pt idx="5">
                  <c:v>139563.57074020131</c:v>
                </c:pt>
                <c:pt idx="6">
                  <c:v>165849.54633174758</c:v>
                </c:pt>
                <c:pt idx="7">
                  <c:v>193035.07928682107</c:v>
                </c:pt>
                <c:pt idx="8">
                  <c:v>221152.33112695022</c:v>
                </c:pt>
                <c:pt idx="9">
                  <c:v>250234.65371820325</c:v>
                </c:pt>
                <c:pt idx="10">
                  <c:v>280316.63446704403</c:v>
                </c:pt>
                <c:pt idx="11">
                  <c:v>311434.14326319535</c:v>
                </c:pt>
                <c:pt idx="12">
                  <c:v>343624.38123786147</c:v>
                </c:pt>
                <c:pt idx="13">
                  <c:v>376925.93140835367</c:v>
                </c:pt>
                <c:pt idx="14">
                  <c:v>411378.81128296931</c:v>
                </c:pt>
                <c:pt idx="15">
                  <c:v>447024.52750288346</c:v>
                </c:pt>
                <c:pt idx="16">
                  <c:v>483906.13260084606</c:v>
                </c:pt>
                <c:pt idx="17">
                  <c:v>522068.28395962069</c:v>
                </c:pt>
                <c:pt idx="18">
                  <c:v>561557.30505638383</c:v>
                </c:pt>
                <c:pt idx="19">
                  <c:v>602421.24908269662</c:v>
                </c:pt>
                <c:pt idx="20">
                  <c:v>644709.9650332086</c:v>
                </c:pt>
                <c:pt idx="21">
                  <c:v>688475.1663599296</c:v>
                </c:pt>
                <c:pt idx="22">
                  <c:v>733770.50229272805</c:v>
                </c:pt>
                <c:pt idx="23">
                  <c:v>780651.63193069608</c:v>
                </c:pt>
                <c:pt idx="24">
                  <c:v>829176.30121315364</c:v>
                </c:pt>
                <c:pt idx="25">
                  <c:v>879404.42288336379</c:v>
                </c:pt>
                <c:pt idx="26">
                  <c:v>921635.20557489677</c:v>
                </c:pt>
                <c:pt idx="27">
                  <c:v>965907.94986290089</c:v>
                </c:pt>
                <c:pt idx="28">
                  <c:v>1012326.2034891413</c:v>
                </c:pt>
                <c:pt idx="29">
                  <c:v>1060999.1305176609</c:v>
                </c:pt>
                <c:pt idx="30">
                  <c:v>1112041.838067817</c:v>
                </c:pt>
              </c:numCache>
            </c:numRef>
          </c:val>
          <c:smooth val="0"/>
        </c:ser>
        <c:dLbls>
          <c:showLegendKey val="0"/>
          <c:showVal val="0"/>
          <c:showCatName val="0"/>
          <c:showSerName val="0"/>
          <c:showPercent val="0"/>
          <c:showBubbleSize val="0"/>
        </c:dLbls>
        <c:marker val="1"/>
        <c:smooth val="0"/>
        <c:axId val="138717824"/>
        <c:axId val="138723712"/>
      </c:lineChart>
      <c:catAx>
        <c:axId val="138717824"/>
        <c:scaling>
          <c:orientation val="minMax"/>
        </c:scaling>
        <c:delete val="0"/>
        <c:axPos val="b"/>
        <c:numFmt formatCode="General" sourceLinked="1"/>
        <c:majorTickMark val="out"/>
        <c:minorTickMark val="none"/>
        <c:tickLblPos val="nextTo"/>
        <c:txPr>
          <a:bodyPr/>
          <a:lstStyle/>
          <a:p>
            <a:pPr>
              <a:defRPr sz="1600"/>
            </a:pPr>
            <a:endParaRPr lang="fr-FR"/>
          </a:p>
        </c:txPr>
        <c:crossAx val="138723712"/>
        <c:crosses val="autoZero"/>
        <c:auto val="1"/>
        <c:lblAlgn val="ctr"/>
        <c:lblOffset val="100"/>
        <c:noMultiLvlLbl val="0"/>
      </c:catAx>
      <c:valAx>
        <c:axId val="138723712"/>
        <c:scaling>
          <c:orientation val="minMax"/>
        </c:scaling>
        <c:delete val="0"/>
        <c:axPos val="l"/>
        <c:majorGridlines/>
        <c:numFmt formatCode="# ##0\ &quot;$&quot;_);\(# ##0\ &quot;$&quot;\)" sourceLinked="1"/>
        <c:majorTickMark val="out"/>
        <c:minorTickMark val="none"/>
        <c:tickLblPos val="nextTo"/>
        <c:txPr>
          <a:bodyPr/>
          <a:lstStyle/>
          <a:p>
            <a:pPr>
              <a:defRPr sz="1600"/>
            </a:pPr>
            <a:endParaRPr lang="fr-FR"/>
          </a:p>
        </c:txPr>
        <c:crossAx val="138717824"/>
        <c:crosses val="autoZero"/>
        <c:crossBetween val="between"/>
      </c:valAx>
    </c:plotArea>
    <c:legend>
      <c:legendPos val="r"/>
      <c:layout/>
      <c:overlay val="0"/>
      <c:txPr>
        <a:bodyPr/>
        <a:lstStyle/>
        <a:p>
          <a:pPr>
            <a:defRPr sz="2000" b="1"/>
          </a:pPr>
          <a:endParaRPr lang="fr-FR"/>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388880</xdr:colOff>
      <xdr:row>4</xdr:row>
      <xdr:rowOff>111331</xdr:rowOff>
    </xdr:from>
    <xdr:to>
      <xdr:col>7</xdr:col>
      <xdr:colOff>74221</xdr:colOff>
      <xdr:row>34</xdr:row>
      <xdr:rowOff>4228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hyperlink" Target="http://www.jeuneretraite.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tabSelected="1" zoomScale="77" zoomScaleNormal="77" workbookViewId="0">
      <selection activeCell="H10" sqref="H10"/>
    </sheetView>
  </sheetViews>
  <sheetFormatPr baseColWidth="10" defaultRowHeight="15" x14ac:dyDescent="0.25"/>
  <cols>
    <col min="1" max="1" width="1.7109375" style="3" customWidth="1"/>
    <col min="2" max="2" width="6.5703125" style="3" customWidth="1"/>
    <col min="3" max="3" width="45.28515625" style="3" customWidth="1"/>
    <col min="4" max="4" width="13.140625" style="3" customWidth="1"/>
    <col min="5" max="5" width="6.5703125" style="3" customWidth="1"/>
    <col min="6" max="6" width="5.28515625" style="3" customWidth="1"/>
    <col min="7" max="7" width="148.85546875" style="3" customWidth="1"/>
    <col min="8" max="8" width="11.42578125" style="3"/>
    <col min="9" max="9" width="5.85546875" style="3" customWidth="1"/>
    <col min="10" max="10" width="39.85546875" style="3" bestFit="1" customWidth="1"/>
    <col min="11" max="11" width="11.42578125" style="3"/>
    <col min="12" max="12" width="6.140625" style="3" customWidth="1"/>
    <col min="13" max="13" width="21.5703125" style="3" customWidth="1"/>
    <col min="14" max="16384" width="11.42578125" style="3"/>
  </cols>
  <sheetData>
    <row r="1" spans="2:14" ht="8.25" customHeight="1" x14ac:dyDescent="0.25"/>
    <row r="2" spans="2:14" s="4" customFormat="1" ht="15" customHeight="1" x14ac:dyDescent="0.5">
      <c r="B2" s="97" t="s">
        <v>5</v>
      </c>
      <c r="C2" s="98"/>
      <c r="D2" s="98"/>
      <c r="E2" s="99"/>
      <c r="F2" s="78"/>
      <c r="G2" s="103" t="s">
        <v>44</v>
      </c>
      <c r="H2" s="85"/>
      <c r="I2" s="85"/>
      <c r="J2" s="85"/>
      <c r="K2" s="85"/>
      <c r="L2" s="85"/>
      <c r="M2" s="85"/>
      <c r="N2" s="85"/>
    </row>
    <row r="3" spans="2:14" ht="16.5" customHeight="1" x14ac:dyDescent="0.5">
      <c r="B3" s="50"/>
      <c r="C3" s="51"/>
      <c r="D3" s="51"/>
      <c r="E3" s="52"/>
      <c r="F3" s="6"/>
      <c r="G3" s="103"/>
      <c r="H3" s="85"/>
      <c r="I3" s="85"/>
      <c r="J3" s="85"/>
      <c r="K3" s="85"/>
      <c r="L3" s="85"/>
      <c r="M3" s="85"/>
      <c r="N3" s="85"/>
    </row>
    <row r="4" spans="2:14" ht="14.25" customHeight="1" x14ac:dyDescent="0.3">
      <c r="B4" s="15"/>
      <c r="C4" s="20" t="s">
        <v>12</v>
      </c>
      <c r="D4" s="31">
        <v>1000</v>
      </c>
      <c r="E4" s="29"/>
      <c r="F4" s="6"/>
      <c r="G4" s="86" t="s">
        <v>78</v>
      </c>
      <c r="H4" s="84"/>
      <c r="I4" s="84"/>
      <c r="J4" s="84"/>
      <c r="K4" s="84"/>
      <c r="L4" s="84"/>
      <c r="M4" s="84"/>
      <c r="N4" s="84"/>
    </row>
    <row r="5" spans="2:14" x14ac:dyDescent="0.25">
      <c r="B5" s="30"/>
      <c r="C5" s="16"/>
      <c r="D5" s="16"/>
      <c r="E5" s="29"/>
      <c r="F5" s="6"/>
      <c r="G5" s="6"/>
      <c r="H5" s="6"/>
      <c r="I5" s="6"/>
      <c r="J5" s="6"/>
      <c r="K5" s="6"/>
      <c r="L5" s="6"/>
    </row>
    <row r="6" spans="2:14" x14ac:dyDescent="0.25">
      <c r="B6" s="30"/>
      <c r="C6" s="20" t="s">
        <v>72</v>
      </c>
      <c r="D6" s="32">
        <v>0.02</v>
      </c>
      <c r="E6" s="29"/>
      <c r="F6" s="6"/>
      <c r="G6" s="6"/>
      <c r="H6" s="6"/>
      <c r="I6" s="6"/>
      <c r="J6" s="6"/>
      <c r="K6" s="6"/>
      <c r="L6" s="6"/>
    </row>
    <row r="7" spans="2:14" x14ac:dyDescent="0.25">
      <c r="B7" s="30"/>
      <c r="C7" s="16"/>
      <c r="D7" s="16"/>
      <c r="E7" s="29"/>
      <c r="F7" s="6"/>
      <c r="G7" s="6"/>
      <c r="H7" s="6"/>
      <c r="I7" s="6"/>
      <c r="J7" s="6"/>
      <c r="K7" s="6"/>
      <c r="L7" s="6"/>
    </row>
    <row r="8" spans="2:14" x14ac:dyDescent="0.25">
      <c r="B8" s="71"/>
      <c r="C8" s="72" t="s">
        <v>77</v>
      </c>
      <c r="D8" s="32">
        <v>7.0000000000000007E-2</v>
      </c>
      <c r="E8" s="73"/>
      <c r="F8" s="6"/>
      <c r="G8" s="6"/>
      <c r="H8" s="6"/>
      <c r="I8" s="6"/>
      <c r="J8" s="6"/>
      <c r="K8" s="6"/>
      <c r="L8" s="6"/>
    </row>
    <row r="9" spans="2:14" x14ac:dyDescent="0.25">
      <c r="B9" s="74"/>
      <c r="C9" s="75"/>
      <c r="D9" s="75"/>
      <c r="E9" s="76"/>
      <c r="F9" s="6"/>
      <c r="G9" s="6"/>
      <c r="H9" s="6"/>
      <c r="I9" s="6"/>
      <c r="J9" s="6"/>
      <c r="K9" s="6"/>
      <c r="L9" s="6"/>
    </row>
    <row r="10" spans="2:14" ht="9" customHeight="1" x14ac:dyDescent="0.25">
      <c r="F10" s="6"/>
      <c r="G10" s="6"/>
      <c r="H10" s="6"/>
      <c r="I10" s="6"/>
      <c r="J10" s="6"/>
      <c r="K10" s="6"/>
      <c r="L10" s="6"/>
    </row>
    <row r="11" spans="2:14" x14ac:dyDescent="0.25">
      <c r="B11" s="100" t="s">
        <v>6</v>
      </c>
      <c r="C11" s="101"/>
      <c r="D11" s="101"/>
      <c r="E11" s="102"/>
      <c r="F11" s="6"/>
      <c r="G11" s="6"/>
      <c r="H11" s="6"/>
      <c r="I11" s="6"/>
      <c r="J11" s="6"/>
      <c r="K11" s="6"/>
      <c r="L11" s="6"/>
    </row>
    <row r="12" spans="2:14" x14ac:dyDescent="0.25">
      <c r="B12" s="47"/>
      <c r="C12" s="18"/>
      <c r="D12" s="18"/>
      <c r="E12" s="45"/>
      <c r="F12" s="6"/>
      <c r="G12" s="6"/>
      <c r="H12" s="6"/>
      <c r="I12" s="6"/>
      <c r="J12" s="6"/>
      <c r="K12" s="6"/>
      <c r="L12" s="6"/>
    </row>
    <row r="13" spans="2:14" x14ac:dyDescent="0.25">
      <c r="B13" s="17"/>
      <c r="C13" s="18" t="s">
        <v>13</v>
      </c>
      <c r="D13" s="31">
        <v>350000</v>
      </c>
      <c r="E13" s="45"/>
      <c r="F13" s="6"/>
      <c r="G13" s="6"/>
      <c r="H13" s="6"/>
      <c r="I13" s="6"/>
      <c r="J13" s="6"/>
      <c r="K13" s="6"/>
      <c r="L13" s="6"/>
    </row>
    <row r="14" spans="2:14" x14ac:dyDescent="0.25">
      <c r="B14" s="17"/>
      <c r="C14" s="18"/>
      <c r="D14" s="18"/>
      <c r="E14" s="45"/>
      <c r="F14" s="6"/>
      <c r="G14" s="6"/>
      <c r="H14" s="6"/>
      <c r="I14" s="6"/>
      <c r="J14" s="6"/>
      <c r="K14" s="6"/>
      <c r="L14" s="6"/>
    </row>
    <row r="15" spans="2:14" x14ac:dyDescent="0.25">
      <c r="B15" s="17"/>
      <c r="C15" s="18" t="s">
        <v>14</v>
      </c>
      <c r="D15" s="31">
        <v>50000</v>
      </c>
      <c r="E15" s="45"/>
      <c r="F15" s="6"/>
      <c r="G15" s="6"/>
      <c r="H15" s="6"/>
      <c r="I15" s="6"/>
      <c r="J15" s="6"/>
      <c r="K15" s="6"/>
      <c r="L15" s="6"/>
    </row>
    <row r="16" spans="2:14" x14ac:dyDescent="0.25">
      <c r="B16" s="17"/>
      <c r="C16" s="18"/>
      <c r="D16" s="18"/>
      <c r="E16" s="45"/>
      <c r="F16" s="6"/>
      <c r="G16" s="6"/>
      <c r="H16" s="6"/>
      <c r="I16" s="6"/>
      <c r="J16" s="6"/>
      <c r="K16" s="6"/>
      <c r="L16" s="6"/>
    </row>
    <row r="17" spans="2:12" x14ac:dyDescent="0.25">
      <c r="B17" s="17"/>
      <c r="C17" s="18" t="s">
        <v>15</v>
      </c>
      <c r="D17" s="48">
        <v>25</v>
      </c>
      <c r="E17" s="45"/>
      <c r="F17" s="6"/>
      <c r="G17" s="6"/>
      <c r="H17" s="6"/>
      <c r="I17" s="6"/>
      <c r="J17" s="6"/>
      <c r="K17" s="6"/>
      <c r="L17" s="6"/>
    </row>
    <row r="18" spans="2:12" x14ac:dyDescent="0.25">
      <c r="B18" s="17"/>
      <c r="C18" s="18"/>
      <c r="D18" s="18"/>
      <c r="E18" s="45"/>
      <c r="F18" s="6"/>
      <c r="G18" s="6"/>
    </row>
    <row r="19" spans="2:12" x14ac:dyDescent="0.25">
      <c r="B19" s="17"/>
      <c r="C19" s="18" t="s">
        <v>16</v>
      </c>
      <c r="D19" s="49">
        <v>2.5000000000000001E-2</v>
      </c>
      <c r="E19" s="45"/>
      <c r="F19" s="6"/>
      <c r="G19" s="6"/>
    </row>
    <row r="20" spans="2:12" x14ac:dyDescent="0.25">
      <c r="B20" s="17"/>
      <c r="C20" s="18"/>
      <c r="D20" s="18"/>
      <c r="E20" s="45"/>
      <c r="F20" s="6"/>
      <c r="G20" s="6"/>
    </row>
    <row r="21" spans="2:12" x14ac:dyDescent="0.25">
      <c r="B21" s="17"/>
      <c r="C21" s="18" t="s">
        <v>17</v>
      </c>
      <c r="D21" s="31">
        <v>3500</v>
      </c>
      <c r="E21" s="45"/>
      <c r="F21" s="6"/>
      <c r="G21" s="6"/>
    </row>
    <row r="22" spans="2:12" x14ac:dyDescent="0.25">
      <c r="B22" s="17"/>
      <c r="C22" s="18"/>
      <c r="D22" s="18"/>
      <c r="E22" s="45"/>
    </row>
    <row r="23" spans="2:12" x14ac:dyDescent="0.25">
      <c r="B23" s="17"/>
      <c r="C23" s="18" t="s">
        <v>74</v>
      </c>
      <c r="D23" s="31">
        <v>7000</v>
      </c>
      <c r="E23" s="45"/>
    </row>
    <row r="24" spans="2:12" x14ac:dyDescent="0.25">
      <c r="B24" s="53"/>
      <c r="C24" s="18"/>
      <c r="D24" s="18"/>
      <c r="E24" s="45"/>
    </row>
    <row r="25" spans="2:12" x14ac:dyDescent="0.25">
      <c r="B25" s="53"/>
      <c r="C25" s="18" t="s">
        <v>18</v>
      </c>
      <c r="D25" s="32">
        <v>0.05</v>
      </c>
      <c r="E25" s="45"/>
    </row>
    <row r="26" spans="2:12" x14ac:dyDescent="0.25">
      <c r="B26" s="53"/>
      <c r="C26" s="18"/>
      <c r="D26" s="18"/>
      <c r="E26" s="45"/>
    </row>
    <row r="27" spans="2:12" x14ac:dyDescent="0.25">
      <c r="B27" s="53"/>
      <c r="C27" s="18" t="s">
        <v>73</v>
      </c>
      <c r="D27" s="32">
        <v>0.04</v>
      </c>
      <c r="E27" s="45"/>
    </row>
    <row r="28" spans="2:12" x14ac:dyDescent="0.25">
      <c r="B28" s="53"/>
      <c r="C28" s="18"/>
      <c r="D28" s="18"/>
      <c r="E28" s="45"/>
    </row>
    <row r="29" spans="2:12" x14ac:dyDescent="0.25">
      <c r="B29" s="53"/>
      <c r="C29" s="18" t="s">
        <v>42</v>
      </c>
      <c r="D29" s="31">
        <v>250</v>
      </c>
      <c r="E29" s="45"/>
    </row>
    <row r="30" spans="2:12" x14ac:dyDescent="0.25">
      <c r="B30" s="53"/>
      <c r="C30" s="18"/>
      <c r="D30" s="18"/>
      <c r="E30" s="45"/>
    </row>
    <row r="31" spans="2:12" x14ac:dyDescent="0.25">
      <c r="B31" s="53"/>
      <c r="C31" s="18" t="s">
        <v>75</v>
      </c>
      <c r="D31" s="31">
        <v>100</v>
      </c>
      <c r="E31" s="45"/>
    </row>
    <row r="32" spans="2:12" x14ac:dyDescent="0.25">
      <c r="B32" s="53"/>
      <c r="C32" s="18"/>
      <c r="D32" s="18"/>
      <c r="E32" s="45"/>
    </row>
    <row r="33" spans="2:5" x14ac:dyDescent="0.25">
      <c r="B33" s="53"/>
      <c r="C33" s="18" t="s">
        <v>76</v>
      </c>
      <c r="D33" s="32">
        <v>0.02</v>
      </c>
      <c r="E33" s="45"/>
    </row>
    <row r="34" spans="2:5" x14ac:dyDescent="0.25">
      <c r="B34" s="77"/>
      <c r="C34" s="69"/>
      <c r="D34" s="69"/>
      <c r="E34" s="70"/>
    </row>
  </sheetData>
  <mergeCells count="3">
    <mergeCell ref="B2:E2"/>
    <mergeCell ref="B11:E11"/>
    <mergeCell ref="G2:G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zoomScale="75" zoomScaleNormal="75" workbookViewId="0">
      <selection activeCell="L39" sqref="L39"/>
    </sheetView>
  </sheetViews>
  <sheetFormatPr baseColWidth="10" defaultRowHeight="15" x14ac:dyDescent="0.25"/>
  <cols>
    <col min="1" max="1" width="9.85546875" style="3" customWidth="1"/>
    <col min="2" max="2" width="10.28515625" style="3" customWidth="1"/>
    <col min="3" max="3" width="14.28515625" style="3" customWidth="1"/>
    <col min="4" max="4" width="14.85546875" style="3" customWidth="1"/>
    <col min="5" max="5" width="10.140625" style="3" customWidth="1"/>
    <col min="6" max="6" width="14.85546875" style="3" customWidth="1"/>
    <col min="7" max="7" width="13" style="3" customWidth="1"/>
    <col min="8" max="8" width="2.42578125" style="3" customWidth="1"/>
    <col min="9" max="9" width="14.85546875" style="3" customWidth="1"/>
    <col min="10" max="10" width="9.28515625" style="3" customWidth="1"/>
    <col min="11" max="11" width="8.85546875" style="3" customWidth="1"/>
    <col min="12" max="12" width="9.140625" style="3" customWidth="1"/>
    <col min="13" max="13" width="10.85546875" style="3" customWidth="1"/>
    <col min="14" max="14" width="12.42578125" style="3" customWidth="1"/>
    <col min="15" max="15" width="10.7109375" style="3" customWidth="1"/>
    <col min="16" max="16" width="14.140625" style="3" customWidth="1"/>
    <col min="17" max="17" width="12.28515625" style="3" customWidth="1"/>
    <col min="18" max="18" width="12.42578125" style="4" customWidth="1"/>
    <col min="19" max="19" width="2.5703125" style="4" customWidth="1"/>
    <col min="20" max="20" width="14" style="4" customWidth="1"/>
    <col min="21" max="21" width="12.42578125" style="93" customWidth="1"/>
    <col min="22" max="22" width="8.7109375" style="3" bestFit="1" customWidth="1"/>
    <col min="23" max="24" width="8.5703125" style="3" customWidth="1"/>
    <col min="25" max="16384" width="11.42578125" style="3"/>
  </cols>
  <sheetData>
    <row r="1" spans="1:24" s="2" customFormat="1" ht="6" customHeight="1" x14ac:dyDescent="0.3">
      <c r="A1" s="1"/>
      <c r="B1" s="1"/>
      <c r="C1" s="1"/>
      <c r="D1" s="1"/>
      <c r="E1" s="1"/>
      <c r="F1" s="1"/>
      <c r="G1" s="1"/>
      <c r="H1" s="1"/>
      <c r="I1" s="1"/>
      <c r="J1" s="1"/>
      <c r="K1" s="1"/>
      <c r="L1" s="1"/>
      <c r="M1" s="1"/>
      <c r="N1" s="1"/>
      <c r="O1" s="1"/>
      <c r="P1" s="1"/>
      <c r="Q1" s="1"/>
      <c r="R1" s="1"/>
      <c r="S1" s="1"/>
      <c r="T1" s="1"/>
      <c r="U1" s="90"/>
    </row>
    <row r="2" spans="1:24" s="4" customFormat="1" x14ac:dyDescent="0.25">
      <c r="B2" s="104" t="s">
        <v>5</v>
      </c>
      <c r="C2" s="105"/>
      <c r="D2" s="105"/>
      <c r="E2" s="105"/>
      <c r="F2" s="105"/>
      <c r="G2" s="106"/>
      <c r="I2" s="107" t="s">
        <v>6</v>
      </c>
      <c r="J2" s="108"/>
      <c r="K2" s="108"/>
      <c r="L2" s="108"/>
      <c r="M2" s="108"/>
      <c r="N2" s="108"/>
      <c r="O2" s="108"/>
      <c r="P2" s="108"/>
      <c r="Q2" s="108"/>
      <c r="R2" s="109"/>
      <c r="S2" s="87"/>
      <c r="T2" s="87"/>
      <c r="U2" s="91"/>
    </row>
    <row r="3" spans="1:24" s="28" customFormat="1" ht="36.75" customHeight="1" x14ac:dyDescent="0.25">
      <c r="A3" s="22" t="s">
        <v>0</v>
      </c>
      <c r="B3" s="23" t="s">
        <v>2</v>
      </c>
      <c r="C3" s="23" t="s">
        <v>4</v>
      </c>
      <c r="D3" s="23" t="s">
        <v>40</v>
      </c>
      <c r="E3" s="24" t="s">
        <v>41</v>
      </c>
      <c r="F3" s="23" t="s">
        <v>37</v>
      </c>
      <c r="G3" s="23" t="s">
        <v>43</v>
      </c>
      <c r="H3" s="25"/>
      <c r="I3" s="26" t="s">
        <v>3</v>
      </c>
      <c r="J3" s="26" t="s">
        <v>10</v>
      </c>
      <c r="K3" s="26" t="s">
        <v>38</v>
      </c>
      <c r="L3" s="26" t="s">
        <v>1</v>
      </c>
      <c r="M3" s="26" t="s">
        <v>9</v>
      </c>
      <c r="N3" s="26" t="s">
        <v>8</v>
      </c>
      <c r="O3" s="26" t="s">
        <v>37</v>
      </c>
      <c r="P3" s="27" t="s">
        <v>39</v>
      </c>
      <c r="Q3" s="27" t="s">
        <v>7</v>
      </c>
      <c r="R3" s="27" t="s">
        <v>43</v>
      </c>
      <c r="S3" s="88"/>
      <c r="T3" s="88" t="s">
        <v>71</v>
      </c>
      <c r="U3" s="79" t="s">
        <v>70</v>
      </c>
    </row>
    <row r="4" spans="1:24" x14ac:dyDescent="0.25">
      <c r="A4" s="7">
        <v>0</v>
      </c>
      <c r="B4" s="35"/>
      <c r="C4" s="36">
        <f>MISE_FONDS</f>
        <v>50000</v>
      </c>
      <c r="D4" s="36">
        <f>DEMARRAGE</f>
        <v>7000</v>
      </c>
      <c r="E4" s="36"/>
      <c r="F4" s="36"/>
      <c r="G4" s="37">
        <f>C4+D4+F4</f>
        <v>57000</v>
      </c>
      <c r="H4" s="38"/>
      <c r="I4" s="39"/>
      <c r="J4" s="39"/>
      <c r="K4" s="39"/>
      <c r="L4" s="39"/>
      <c r="M4" s="39"/>
      <c r="N4" s="39">
        <f>PRIX</f>
        <v>350000</v>
      </c>
      <c r="O4" s="39">
        <f>IF(E4&lt;0, E4, 0)</f>
        <v>0</v>
      </c>
      <c r="P4" s="39">
        <f>IF(SOLDE0&gt;0, SOLDE0,0)</f>
        <v>309300</v>
      </c>
      <c r="Q4" s="39">
        <f>(N4*COMMISSION)*1.14975</f>
        <v>20120.625</v>
      </c>
      <c r="R4" s="40">
        <f>N4-P4-Q4+O4</f>
        <v>20579.375</v>
      </c>
      <c r="S4" s="89"/>
      <c r="T4" s="94" t="str">
        <f>IF(G4-R4&gt;0, "LOCATION", "ACHAT")</f>
        <v>LOCATION</v>
      </c>
      <c r="U4" s="92">
        <f>ABS(G4-R4)</f>
        <v>36420.625</v>
      </c>
      <c r="V4" s="8"/>
      <c r="W4" s="8"/>
      <c r="X4" s="8"/>
    </row>
    <row r="5" spans="1:24" x14ac:dyDescent="0.25">
      <c r="A5" s="7">
        <v>1</v>
      </c>
      <c r="B5" s="36">
        <f>LOYER*12</f>
        <v>12000</v>
      </c>
      <c r="C5" s="36">
        <f t="shared" ref="C5:C34" si="0">C4*(1+RENDEMENT_BOURSE)</f>
        <v>53500</v>
      </c>
      <c r="D5" s="36">
        <f t="shared" ref="D5:D34" si="1">D4*(1+RENDEMENT_BOURSE)</f>
        <v>7490</v>
      </c>
      <c r="E5" s="36">
        <f t="shared" ref="E5:E34" si="2">M5-B5</f>
        <v>12326.714573894809</v>
      </c>
      <c r="F5" s="36">
        <f t="shared" ref="F5:F34" si="3">IF(E5&gt;0, F4*(1+RENDEMENT_BOURSE)+E5, F4*(1+RENDEMENT_BOURSE))</f>
        <v>12326.714573894809</v>
      </c>
      <c r="G5" s="37">
        <f t="shared" ref="G5:G34" si="4">C5+D5+F5</f>
        <v>73316.714573894802</v>
      </c>
      <c r="H5" s="38"/>
      <c r="I5" s="39">
        <f t="shared" ref="I5:I34" si="5">IF(PRET_ANNEES &gt;= A5, VERSEMENT_MENSUEL*12, "")</f>
        <v>16626.714573894809</v>
      </c>
      <c r="J5" s="39">
        <f>FRAIS_CONDO*12</f>
        <v>3000</v>
      </c>
      <c r="K5" s="39">
        <f>AUTRES_FRAIS*12</f>
        <v>1200</v>
      </c>
      <c r="L5" s="39">
        <f>TAXES</f>
        <v>3500</v>
      </c>
      <c r="M5" s="39">
        <f>SUM(I5:L5)</f>
        <v>24326.714573894809</v>
      </c>
      <c r="N5" s="39">
        <f t="shared" ref="N5:N34" si="6">N4*(1+RENDEMENT_IMMO)</f>
        <v>364000</v>
      </c>
      <c r="O5" s="39">
        <f t="shared" ref="O5:O34" si="7">O4*(1+RENDEMENT_BOURSE)+IF(E5&lt;0, ABS(E5))</f>
        <v>0</v>
      </c>
      <c r="P5" s="39">
        <f>IF(SOLDE1&gt;0, SOLDE1,0)</f>
        <v>300263.26836119738</v>
      </c>
      <c r="Q5" s="39">
        <f t="shared" ref="Q5:Q34" si="8">(N5*COMMISSION)*1.14975</f>
        <v>20925.45</v>
      </c>
      <c r="R5" s="40">
        <f>N5-P5-Q5+O5</f>
        <v>42811.281638802626</v>
      </c>
      <c r="S5" s="89"/>
      <c r="T5" s="94" t="str">
        <f t="shared" ref="T5:T34" si="9">IF(G5-R5&gt;0, "LOCATION", "ACHAT")</f>
        <v>LOCATION</v>
      </c>
      <c r="U5" s="92">
        <f t="shared" ref="U5:U34" si="10">ABS(G5-R5)</f>
        <v>30505.432935092176</v>
      </c>
      <c r="V5" s="8"/>
      <c r="W5" s="8"/>
      <c r="X5" s="8"/>
    </row>
    <row r="6" spans="1:24" x14ac:dyDescent="0.25">
      <c r="A6" s="7">
        <v>2</v>
      </c>
      <c r="B6" s="36">
        <f t="shared" ref="B6:B34" si="11">B5*(1+AUGMENTATION_LOYER)</f>
        <v>12240</v>
      </c>
      <c r="C6" s="36">
        <f t="shared" si="0"/>
        <v>57245</v>
      </c>
      <c r="D6" s="36">
        <f t="shared" si="1"/>
        <v>8014.3</v>
      </c>
      <c r="E6" s="36">
        <f>M6-B6</f>
        <v>12240.714573894809</v>
      </c>
      <c r="F6" s="36">
        <f t="shared" si="3"/>
        <v>25430.299167962257</v>
      </c>
      <c r="G6" s="37">
        <f>C6+D6+F6</f>
        <v>90689.599167962268</v>
      </c>
      <c r="H6" s="38"/>
      <c r="I6" s="39">
        <f t="shared" si="5"/>
        <v>16626.714573894809</v>
      </c>
      <c r="J6" s="39">
        <f t="shared" ref="J6:J34" si="12">J5*(1+INFLATION)</f>
        <v>3060</v>
      </c>
      <c r="K6" s="39">
        <f t="shared" ref="K6:K34" si="13">K5*(1+INFLATION)</f>
        <v>1224</v>
      </c>
      <c r="L6" s="39">
        <f t="shared" ref="L6:L34" si="14">L5*(1+INFLATION)</f>
        <v>3570</v>
      </c>
      <c r="M6" s="39">
        <f>SUM(I6:L6)</f>
        <v>24480.714573894809</v>
      </c>
      <c r="N6" s="39">
        <f>N5*(1+RENDEMENT_IMMO)</f>
        <v>378560</v>
      </c>
      <c r="O6" s="39">
        <f t="shared" si="7"/>
        <v>0</v>
      </c>
      <c r="P6" s="39">
        <f>IF(SOLDE2&gt;0, SOLDE2,0)</f>
        <v>290999.20644210605</v>
      </c>
      <c r="Q6" s="39">
        <f t="shared" si="8"/>
        <v>21762.468000000001</v>
      </c>
      <c r="R6" s="40">
        <f t="shared" ref="R6:R34" si="15">N6-P6-Q6+O6</f>
        <v>65798.325557893957</v>
      </c>
      <c r="S6" s="89"/>
      <c r="T6" s="94" t="str">
        <f t="shared" si="9"/>
        <v>LOCATION</v>
      </c>
      <c r="U6" s="92">
        <f t="shared" si="10"/>
        <v>24891.273610068311</v>
      </c>
      <c r="V6" s="8"/>
      <c r="W6" s="8"/>
      <c r="X6" s="8"/>
    </row>
    <row r="7" spans="1:24" x14ac:dyDescent="0.25">
      <c r="A7" s="7">
        <v>3</v>
      </c>
      <c r="B7" s="36">
        <f t="shared" si="11"/>
        <v>12484.800000000001</v>
      </c>
      <c r="C7" s="36">
        <f t="shared" si="0"/>
        <v>61252.15</v>
      </c>
      <c r="D7" s="36">
        <f t="shared" si="1"/>
        <v>8575.3010000000013</v>
      </c>
      <c r="E7" s="36">
        <f t="shared" si="2"/>
        <v>12152.99457389481</v>
      </c>
      <c r="F7" s="36">
        <f t="shared" si="3"/>
        <v>39363.414683614428</v>
      </c>
      <c r="G7" s="37">
        <f t="shared" si="4"/>
        <v>109190.86568361442</v>
      </c>
      <c r="H7" s="38"/>
      <c r="I7" s="39">
        <f t="shared" si="5"/>
        <v>16626.714573894809</v>
      </c>
      <c r="J7" s="39">
        <f t="shared" si="12"/>
        <v>3121.2000000000003</v>
      </c>
      <c r="K7" s="39">
        <f t="shared" si="13"/>
        <v>1248.48</v>
      </c>
      <c r="L7" s="39">
        <f t="shared" si="14"/>
        <v>3641.4</v>
      </c>
      <c r="M7" s="39">
        <f t="shared" ref="M7:M34" si="16">SUM(I7:L7)</f>
        <v>24637.794573894811</v>
      </c>
      <c r="N7" s="39">
        <f t="shared" si="6"/>
        <v>393702.40000000002</v>
      </c>
      <c r="O7" s="39">
        <f t="shared" si="7"/>
        <v>0</v>
      </c>
      <c r="P7" s="39">
        <f>IF(SOLDE3&gt;0, SOLDE3,0)</f>
        <v>281502.09546536265</v>
      </c>
      <c r="Q7" s="39">
        <f t="shared" si="8"/>
        <v>22632.966720000004</v>
      </c>
      <c r="R7" s="40">
        <f t="shared" si="15"/>
        <v>89567.337814637373</v>
      </c>
      <c r="S7" s="89"/>
      <c r="T7" s="94" t="str">
        <f t="shared" si="9"/>
        <v>LOCATION</v>
      </c>
      <c r="U7" s="92">
        <f t="shared" si="10"/>
        <v>19623.527868977049</v>
      </c>
      <c r="V7" s="8"/>
      <c r="W7" s="8"/>
      <c r="X7" s="8"/>
    </row>
    <row r="8" spans="1:24" x14ac:dyDescent="0.25">
      <c r="A8" s="7">
        <v>4</v>
      </c>
      <c r="B8" s="36">
        <f t="shared" si="11"/>
        <v>12734.496000000001</v>
      </c>
      <c r="C8" s="36">
        <f t="shared" si="0"/>
        <v>65539.800500000012</v>
      </c>
      <c r="D8" s="36">
        <f t="shared" si="1"/>
        <v>9175.572070000002</v>
      </c>
      <c r="E8" s="36">
        <f t="shared" si="2"/>
        <v>12063.520173894807</v>
      </c>
      <c r="F8" s="36">
        <f t="shared" si="3"/>
        <v>54182.373885362249</v>
      </c>
      <c r="G8" s="37">
        <f t="shared" si="4"/>
        <v>128897.74645536226</v>
      </c>
      <c r="H8" s="38"/>
      <c r="I8" s="39">
        <f t="shared" si="5"/>
        <v>16626.714573894809</v>
      </c>
      <c r="J8" s="39">
        <f t="shared" si="12"/>
        <v>3183.6240000000003</v>
      </c>
      <c r="K8" s="39">
        <f t="shared" si="13"/>
        <v>1273.4496000000001</v>
      </c>
      <c r="L8" s="39">
        <f t="shared" si="14"/>
        <v>3714.2280000000001</v>
      </c>
      <c r="M8" s="39">
        <f t="shared" si="16"/>
        <v>24798.016173894808</v>
      </c>
      <c r="N8" s="39">
        <f t="shared" si="6"/>
        <v>409450.49600000004</v>
      </c>
      <c r="O8" s="39">
        <f t="shared" si="7"/>
        <v>0</v>
      </c>
      <c r="P8" s="39">
        <f>IF(SOLDE4&gt;0, SOLDE4,0)</f>
        <v>271766.07279061049</v>
      </c>
      <c r="Q8" s="39">
        <f t="shared" si="8"/>
        <v>23538.285388800003</v>
      </c>
      <c r="R8" s="40">
        <f t="shared" si="15"/>
        <v>114146.13782058956</v>
      </c>
      <c r="S8" s="89"/>
      <c r="T8" s="94" t="str">
        <f t="shared" si="9"/>
        <v>LOCATION</v>
      </c>
      <c r="U8" s="92">
        <f t="shared" si="10"/>
        <v>14751.608634772696</v>
      </c>
      <c r="V8" s="8"/>
      <c r="W8" s="8"/>
      <c r="X8" s="8"/>
    </row>
    <row r="9" spans="1:24" x14ac:dyDescent="0.25">
      <c r="A9" s="7">
        <v>5</v>
      </c>
      <c r="B9" s="36">
        <f t="shared" si="11"/>
        <v>12989.185920000002</v>
      </c>
      <c r="C9" s="36">
        <f t="shared" si="0"/>
        <v>70127.586535000024</v>
      </c>
      <c r="D9" s="36">
        <f t="shared" si="1"/>
        <v>9817.8621149000028</v>
      </c>
      <c r="E9" s="36">
        <f t="shared" si="2"/>
        <v>11972.256285894809</v>
      </c>
      <c r="F9" s="36">
        <f t="shared" si="3"/>
        <v>69947.396343232424</v>
      </c>
      <c r="G9" s="37">
        <f t="shared" si="4"/>
        <v>149892.84499313246</v>
      </c>
      <c r="H9" s="38"/>
      <c r="I9" s="39">
        <f t="shared" si="5"/>
        <v>16626.714573894809</v>
      </c>
      <c r="J9" s="39">
        <f t="shared" si="12"/>
        <v>3247.2964800000004</v>
      </c>
      <c r="K9" s="39">
        <f t="shared" si="13"/>
        <v>1298.9185920000002</v>
      </c>
      <c r="L9" s="39">
        <f t="shared" si="14"/>
        <v>3788.5125600000001</v>
      </c>
      <c r="M9" s="39">
        <f t="shared" si="16"/>
        <v>24961.442205894811</v>
      </c>
      <c r="N9" s="39">
        <f t="shared" si="6"/>
        <v>425828.51584000007</v>
      </c>
      <c r="O9" s="39">
        <f t="shared" si="7"/>
        <v>0</v>
      </c>
      <c r="P9" s="39">
        <f>IF(SOLDE5&gt;0, SOLDE5,0)</f>
        <v>261785.12829544675</v>
      </c>
      <c r="Q9" s="39">
        <f t="shared" si="8"/>
        <v>24479.816804352009</v>
      </c>
      <c r="R9" s="40">
        <f t="shared" si="15"/>
        <v>139563.57074020131</v>
      </c>
      <c r="S9" s="89"/>
      <c r="T9" s="94" t="str">
        <f t="shared" si="9"/>
        <v>LOCATION</v>
      </c>
      <c r="U9" s="92">
        <f t="shared" si="10"/>
        <v>10329.274252931151</v>
      </c>
      <c r="V9" s="8"/>
      <c r="W9" s="8"/>
      <c r="X9" s="8"/>
    </row>
    <row r="10" spans="1:24" x14ac:dyDescent="0.25">
      <c r="A10" s="7">
        <v>6</v>
      </c>
      <c r="B10" s="36">
        <f t="shared" si="11"/>
        <v>13248.969638400002</v>
      </c>
      <c r="C10" s="36">
        <f t="shared" si="0"/>
        <v>75036.517592450036</v>
      </c>
      <c r="D10" s="36">
        <f t="shared" si="1"/>
        <v>10505.112462943003</v>
      </c>
      <c r="E10" s="36">
        <f t="shared" si="2"/>
        <v>11879.167120134807</v>
      </c>
      <c r="F10" s="36">
        <f t="shared" si="3"/>
        <v>86722.881207393511</v>
      </c>
      <c r="G10" s="37">
        <f t="shared" si="4"/>
        <v>172264.51126278655</v>
      </c>
      <c r="H10" s="38"/>
      <c r="I10" s="39">
        <f t="shared" si="5"/>
        <v>16626.714573894809</v>
      </c>
      <c r="J10" s="39">
        <f t="shared" si="12"/>
        <v>3312.2424096000004</v>
      </c>
      <c r="K10" s="39">
        <f t="shared" si="13"/>
        <v>1324.8969638400004</v>
      </c>
      <c r="L10" s="39">
        <f t="shared" si="14"/>
        <v>3864.2828112000002</v>
      </c>
      <c r="M10" s="39">
        <f t="shared" si="16"/>
        <v>25128.136758534809</v>
      </c>
      <c r="N10" s="39">
        <f t="shared" si="6"/>
        <v>442861.65647360007</v>
      </c>
      <c r="O10" s="39">
        <f t="shared" si="7"/>
        <v>0</v>
      </c>
      <c r="P10" s="39">
        <f>IF(SOLDE6&gt;0, SOLDE6,0)</f>
        <v>251553.1006653264</v>
      </c>
      <c r="Q10" s="39">
        <f t="shared" si="8"/>
        <v>25459.009476526087</v>
      </c>
      <c r="R10" s="40">
        <f t="shared" si="15"/>
        <v>165849.54633174758</v>
      </c>
      <c r="S10" s="89"/>
      <c r="T10" s="94" t="str">
        <f t="shared" si="9"/>
        <v>LOCATION</v>
      </c>
      <c r="U10" s="92">
        <f t="shared" si="10"/>
        <v>6414.964931038965</v>
      </c>
      <c r="V10" s="8"/>
      <c r="W10" s="8"/>
      <c r="X10" s="8"/>
    </row>
    <row r="11" spans="1:24" x14ac:dyDescent="0.25">
      <c r="A11" s="7">
        <v>7</v>
      </c>
      <c r="B11" s="36">
        <f t="shared" si="11"/>
        <v>13513.949031168002</v>
      </c>
      <c r="C11" s="36">
        <f t="shared" si="0"/>
        <v>80289.073823921542</v>
      </c>
      <c r="D11" s="36">
        <f t="shared" si="1"/>
        <v>11240.470335349015</v>
      </c>
      <c r="E11" s="36">
        <f t="shared" si="2"/>
        <v>11784.216171059608</v>
      </c>
      <c r="F11" s="36">
        <f t="shared" si="3"/>
        <v>104577.69906297067</v>
      </c>
      <c r="G11" s="37">
        <f t="shared" si="4"/>
        <v>196107.24322224123</v>
      </c>
      <c r="H11" s="38"/>
      <c r="I11" s="39">
        <f t="shared" si="5"/>
        <v>16626.714573894809</v>
      </c>
      <c r="J11" s="39">
        <f t="shared" si="12"/>
        <v>3378.4872577920005</v>
      </c>
      <c r="K11" s="39">
        <f t="shared" si="13"/>
        <v>1351.3949031168004</v>
      </c>
      <c r="L11" s="39">
        <f t="shared" si="14"/>
        <v>3941.5684674240001</v>
      </c>
      <c r="M11" s="39">
        <f t="shared" si="16"/>
        <v>25298.16520222761</v>
      </c>
      <c r="N11" s="39">
        <f t="shared" si="6"/>
        <v>460576.12273254409</v>
      </c>
      <c r="O11" s="39">
        <f t="shared" si="7"/>
        <v>0</v>
      </c>
      <c r="P11" s="39">
        <f>IF(SOLDE7&gt;0, SOLDE7,0)</f>
        <v>241063.67359013588</v>
      </c>
      <c r="Q11" s="39">
        <f t="shared" si="8"/>
        <v>26477.369855587131</v>
      </c>
      <c r="R11" s="40">
        <f t="shared" si="15"/>
        <v>193035.07928682107</v>
      </c>
      <c r="S11" s="89"/>
      <c r="T11" s="94" t="str">
        <f t="shared" si="9"/>
        <v>LOCATION</v>
      </c>
      <c r="U11" s="92">
        <f t="shared" si="10"/>
        <v>3072.1639354201616</v>
      </c>
      <c r="V11" s="8"/>
      <c r="W11" s="8"/>
      <c r="X11" s="8"/>
    </row>
    <row r="12" spans="1:24" x14ac:dyDescent="0.25">
      <c r="A12" s="7">
        <v>8</v>
      </c>
      <c r="B12" s="36">
        <f t="shared" si="11"/>
        <v>13784.228011791361</v>
      </c>
      <c r="C12" s="36">
        <f t="shared" si="0"/>
        <v>85909.308991596059</v>
      </c>
      <c r="D12" s="36">
        <f t="shared" si="1"/>
        <v>12027.303258823447</v>
      </c>
      <c r="E12" s="36">
        <f t="shared" si="2"/>
        <v>11687.366203002905</v>
      </c>
      <c r="F12" s="36">
        <f t="shared" si="3"/>
        <v>123585.50420038153</v>
      </c>
      <c r="G12" s="37">
        <f t="shared" si="4"/>
        <v>221522.11645080103</v>
      </c>
      <c r="H12" s="38"/>
      <c r="I12" s="39">
        <f t="shared" si="5"/>
        <v>16626.714573894809</v>
      </c>
      <c r="J12" s="39">
        <f t="shared" si="12"/>
        <v>3446.0570029478404</v>
      </c>
      <c r="K12" s="39">
        <f t="shared" si="13"/>
        <v>1378.4228011791365</v>
      </c>
      <c r="L12" s="39">
        <f t="shared" si="14"/>
        <v>4020.3998367724803</v>
      </c>
      <c r="M12" s="39">
        <f t="shared" si="16"/>
        <v>25471.594214794266</v>
      </c>
      <c r="N12" s="39">
        <f t="shared" si="6"/>
        <v>478999.16764184588</v>
      </c>
      <c r="O12" s="39">
        <f t="shared" si="7"/>
        <v>0</v>
      </c>
      <c r="P12" s="39">
        <f>IF(SOLDE8&gt;0, SOLDE8,0)</f>
        <v>230310.37186508504</v>
      </c>
      <c r="Q12" s="39">
        <f t="shared" si="8"/>
        <v>27536.464649810619</v>
      </c>
      <c r="R12" s="40">
        <f t="shared" si="15"/>
        <v>221152.33112695022</v>
      </c>
      <c r="S12" s="89"/>
      <c r="T12" s="94" t="str">
        <f t="shared" si="9"/>
        <v>LOCATION</v>
      </c>
      <c r="U12" s="92">
        <f t="shared" si="10"/>
        <v>369.78532385081053</v>
      </c>
      <c r="V12" s="8"/>
      <c r="W12" s="8"/>
      <c r="X12" s="8"/>
    </row>
    <row r="13" spans="1:24" x14ac:dyDescent="0.25">
      <c r="A13" s="7">
        <v>9</v>
      </c>
      <c r="B13" s="36">
        <f t="shared" si="11"/>
        <v>14059.91257202719</v>
      </c>
      <c r="C13" s="36">
        <f t="shared" si="0"/>
        <v>91922.960621007791</v>
      </c>
      <c r="D13" s="36">
        <f t="shared" si="1"/>
        <v>12869.214486941089</v>
      </c>
      <c r="E13" s="36">
        <f t="shared" si="2"/>
        <v>11588.579235585066</v>
      </c>
      <c r="F13" s="36">
        <f t="shared" si="3"/>
        <v>143825.06872999331</v>
      </c>
      <c r="G13" s="37">
        <f t="shared" si="4"/>
        <v>248617.24383794219</v>
      </c>
      <c r="H13" s="38"/>
      <c r="I13" s="39">
        <f t="shared" si="5"/>
        <v>16626.714573894809</v>
      </c>
      <c r="J13" s="39">
        <f t="shared" si="12"/>
        <v>3514.9781430067974</v>
      </c>
      <c r="K13" s="39">
        <f t="shared" si="13"/>
        <v>1405.9912572027192</v>
      </c>
      <c r="L13" s="39">
        <f t="shared" si="14"/>
        <v>4100.8078335079299</v>
      </c>
      <c r="M13" s="39">
        <f t="shared" si="16"/>
        <v>25648.491807612256</v>
      </c>
      <c r="N13" s="39">
        <f t="shared" si="6"/>
        <v>498159.13434751972</v>
      </c>
      <c r="O13" s="39">
        <f t="shared" si="7"/>
        <v>0</v>
      </c>
      <c r="P13" s="39">
        <f>IF(SOLDE9&gt;0, SOLDE9,0)</f>
        <v>219286.55739351345</v>
      </c>
      <c r="Q13" s="39">
        <f t="shared" si="8"/>
        <v>28637.923235803042</v>
      </c>
      <c r="R13" s="40">
        <f t="shared" si="15"/>
        <v>250234.65371820325</v>
      </c>
      <c r="S13" s="89"/>
      <c r="T13" s="94" t="str">
        <f t="shared" si="9"/>
        <v>ACHAT</v>
      </c>
      <c r="U13" s="92">
        <f t="shared" si="10"/>
        <v>1617.4098802610533</v>
      </c>
      <c r="V13" s="8"/>
      <c r="W13" s="8"/>
      <c r="X13" s="8"/>
    </row>
    <row r="14" spans="1:24" x14ac:dyDescent="0.25">
      <c r="A14" s="7">
        <v>10</v>
      </c>
      <c r="B14" s="36">
        <f t="shared" si="11"/>
        <v>14341.110823467734</v>
      </c>
      <c r="C14" s="36">
        <f t="shared" si="0"/>
        <v>98357.567864478347</v>
      </c>
      <c r="D14" s="36">
        <f t="shared" si="1"/>
        <v>13770.059501026966</v>
      </c>
      <c r="E14" s="36">
        <f t="shared" si="2"/>
        <v>11487.816528818872</v>
      </c>
      <c r="F14" s="36">
        <f t="shared" si="3"/>
        <v>165380.64006991169</v>
      </c>
      <c r="G14" s="37">
        <f t="shared" si="4"/>
        <v>277508.26743541699</v>
      </c>
      <c r="H14" s="38"/>
      <c r="I14" s="39">
        <f t="shared" si="5"/>
        <v>16626.714573894809</v>
      </c>
      <c r="J14" s="39">
        <f t="shared" si="12"/>
        <v>3585.2777058669335</v>
      </c>
      <c r="K14" s="39">
        <f t="shared" si="13"/>
        <v>1434.1110823467736</v>
      </c>
      <c r="L14" s="39">
        <f t="shared" si="14"/>
        <v>4182.8239901780889</v>
      </c>
      <c r="M14" s="39">
        <f t="shared" si="16"/>
        <v>25828.927352286606</v>
      </c>
      <c r="N14" s="39">
        <f t="shared" si="6"/>
        <v>518085.49972142052</v>
      </c>
      <c r="O14" s="39">
        <f t="shared" si="7"/>
        <v>0</v>
      </c>
      <c r="P14" s="39">
        <f>IF(SOLDE10&gt;0, SOLDE10,0)</f>
        <v>207985.42508914135</v>
      </c>
      <c r="Q14" s="39">
        <f t="shared" si="8"/>
        <v>29783.440165235166</v>
      </c>
      <c r="R14" s="40">
        <f t="shared" si="15"/>
        <v>280316.63446704403</v>
      </c>
      <c r="S14" s="89"/>
      <c r="T14" s="94" t="str">
        <f t="shared" si="9"/>
        <v>ACHAT</v>
      </c>
      <c r="U14" s="92">
        <f t="shared" si="10"/>
        <v>2808.3670316270436</v>
      </c>
      <c r="V14" s="8"/>
      <c r="W14" s="8"/>
      <c r="X14" s="8"/>
    </row>
    <row r="15" spans="1:24" x14ac:dyDescent="0.25">
      <c r="A15" s="7">
        <v>11</v>
      </c>
      <c r="B15" s="36">
        <f t="shared" si="11"/>
        <v>14627.933039937088</v>
      </c>
      <c r="C15" s="36">
        <f t="shared" si="0"/>
        <v>105242.59761499184</v>
      </c>
      <c r="D15" s="36">
        <f t="shared" si="1"/>
        <v>14733.963666098854</v>
      </c>
      <c r="E15" s="36">
        <f t="shared" si="2"/>
        <v>11385.038567917349</v>
      </c>
      <c r="F15" s="36">
        <f t="shared" si="3"/>
        <v>188342.32344272285</v>
      </c>
      <c r="G15" s="37">
        <f t="shared" si="4"/>
        <v>308318.88472381351</v>
      </c>
      <c r="H15" s="38"/>
      <c r="I15" s="39">
        <f t="shared" si="5"/>
        <v>16626.714573894809</v>
      </c>
      <c r="J15" s="39">
        <f t="shared" si="12"/>
        <v>3656.9832599842721</v>
      </c>
      <c r="K15" s="39">
        <f t="shared" si="13"/>
        <v>1462.7933039937091</v>
      </c>
      <c r="L15" s="39">
        <f t="shared" si="14"/>
        <v>4266.4804699816505</v>
      </c>
      <c r="M15" s="39">
        <f t="shared" si="16"/>
        <v>26012.971607854437</v>
      </c>
      <c r="N15" s="39">
        <f t="shared" si="6"/>
        <v>538808.91971027735</v>
      </c>
      <c r="O15" s="39">
        <f t="shared" si="7"/>
        <v>0</v>
      </c>
      <c r="P15" s="39">
        <f>IF(SOLDE11&gt;0, SOLDE11,0)</f>
        <v>196399.99867523738</v>
      </c>
      <c r="Q15" s="39">
        <f t="shared" si="8"/>
        <v>30974.777771844572</v>
      </c>
      <c r="R15" s="40">
        <f t="shared" si="15"/>
        <v>311434.14326319535</v>
      </c>
      <c r="S15" s="89"/>
      <c r="T15" s="94" t="str">
        <f t="shared" si="9"/>
        <v>ACHAT</v>
      </c>
      <c r="U15" s="92">
        <f t="shared" si="10"/>
        <v>3115.2585393818445</v>
      </c>
      <c r="V15" s="8"/>
      <c r="W15" s="8"/>
      <c r="X15" s="8"/>
    </row>
    <row r="16" spans="1:24" x14ac:dyDescent="0.25">
      <c r="A16" s="7">
        <v>12</v>
      </c>
      <c r="B16" s="36">
        <f t="shared" si="11"/>
        <v>14920.491700735831</v>
      </c>
      <c r="C16" s="36">
        <f t="shared" si="0"/>
        <v>112609.57944804127</v>
      </c>
      <c r="D16" s="36">
        <f t="shared" si="1"/>
        <v>15765.341122725775</v>
      </c>
      <c r="E16" s="36">
        <f t="shared" si="2"/>
        <v>11280.205047797805</v>
      </c>
      <c r="F16" s="36">
        <f t="shared" si="3"/>
        <v>212806.49113151128</v>
      </c>
      <c r="G16" s="37">
        <f t="shared" si="4"/>
        <v>341181.4117022783</v>
      </c>
      <c r="H16" s="38"/>
      <c r="I16" s="39">
        <f t="shared" si="5"/>
        <v>16626.714573894809</v>
      </c>
      <c r="J16" s="39">
        <f t="shared" si="12"/>
        <v>3730.1229251839577</v>
      </c>
      <c r="K16" s="39">
        <f t="shared" si="13"/>
        <v>1492.0491700735834</v>
      </c>
      <c r="L16" s="39">
        <f t="shared" si="14"/>
        <v>4351.8100793812837</v>
      </c>
      <c r="M16" s="39">
        <f t="shared" si="16"/>
        <v>26200.696748533635</v>
      </c>
      <c r="N16" s="39">
        <f t="shared" si="6"/>
        <v>560361.2764986885</v>
      </c>
      <c r="O16" s="39">
        <f t="shared" si="7"/>
        <v>0</v>
      </c>
      <c r="P16" s="39">
        <f>IF(SOLDE12&gt;0, SOLDE12,0)</f>
        <v>184523.12637810869</v>
      </c>
      <c r="Q16" s="39">
        <f t="shared" si="8"/>
        <v>32213.768882718359</v>
      </c>
      <c r="R16" s="40">
        <f t="shared" si="15"/>
        <v>343624.38123786147</v>
      </c>
      <c r="S16" s="89"/>
      <c r="T16" s="94" t="str">
        <f t="shared" si="9"/>
        <v>ACHAT</v>
      </c>
      <c r="U16" s="92">
        <f t="shared" si="10"/>
        <v>2442.9695355831645</v>
      </c>
      <c r="V16" s="8"/>
      <c r="W16" s="8"/>
      <c r="X16" s="8"/>
    </row>
    <row r="17" spans="1:24" x14ac:dyDescent="0.25">
      <c r="A17" s="7">
        <v>13</v>
      </c>
      <c r="B17" s="36">
        <f t="shared" si="11"/>
        <v>15218.901534750548</v>
      </c>
      <c r="C17" s="36">
        <f t="shared" si="0"/>
        <v>120492.25000940418</v>
      </c>
      <c r="D17" s="36">
        <f t="shared" si="1"/>
        <v>16868.915001316582</v>
      </c>
      <c r="E17" s="36">
        <f t="shared" si="2"/>
        <v>11173.274857275861</v>
      </c>
      <c r="F17" s="36">
        <f t="shared" si="3"/>
        <v>238876.22036799294</v>
      </c>
      <c r="G17" s="37">
        <f t="shared" si="4"/>
        <v>376237.38537871372</v>
      </c>
      <c r="H17" s="38"/>
      <c r="I17" s="39">
        <f t="shared" si="5"/>
        <v>16626.714573894809</v>
      </c>
      <c r="J17" s="39">
        <f t="shared" si="12"/>
        <v>3804.7253836876371</v>
      </c>
      <c r="K17" s="39">
        <f t="shared" si="13"/>
        <v>1521.8901534750551</v>
      </c>
      <c r="L17" s="39">
        <f t="shared" si="14"/>
        <v>4438.846280968909</v>
      </c>
      <c r="M17" s="39">
        <f t="shared" si="16"/>
        <v>26392.176392026409</v>
      </c>
      <c r="N17" s="39">
        <f t="shared" si="6"/>
        <v>582775.72755863611</v>
      </c>
      <c r="O17" s="39">
        <f t="shared" si="7"/>
        <v>0</v>
      </c>
      <c r="P17" s="39">
        <f>IF(SOLDE13&gt;0, SOLDE13,0)</f>
        <v>172347.47651225532</v>
      </c>
      <c r="Q17" s="39">
        <f t="shared" si="8"/>
        <v>33502.319638027097</v>
      </c>
      <c r="R17" s="40">
        <f t="shared" si="15"/>
        <v>376925.93140835367</v>
      </c>
      <c r="S17" s="89"/>
      <c r="T17" s="94" t="str">
        <f t="shared" si="9"/>
        <v>ACHAT</v>
      </c>
      <c r="U17" s="92">
        <f t="shared" si="10"/>
        <v>688.54602963995421</v>
      </c>
      <c r="V17" s="8"/>
      <c r="W17" s="8"/>
      <c r="X17" s="8"/>
    </row>
    <row r="18" spans="1:24" x14ac:dyDescent="0.25">
      <c r="A18" s="7">
        <v>14</v>
      </c>
      <c r="B18" s="36">
        <f t="shared" si="11"/>
        <v>15523.27956544556</v>
      </c>
      <c r="C18" s="36">
        <f t="shared" si="0"/>
        <v>128926.70751006248</v>
      </c>
      <c r="D18" s="36">
        <f t="shared" si="1"/>
        <v>18049.739051408742</v>
      </c>
      <c r="E18" s="36">
        <f t="shared" si="2"/>
        <v>11064.20606294348</v>
      </c>
      <c r="F18" s="36">
        <f t="shared" si="3"/>
        <v>266661.76185669593</v>
      </c>
      <c r="G18" s="37">
        <f t="shared" si="4"/>
        <v>413638.20841816714</v>
      </c>
      <c r="H18" s="38"/>
      <c r="I18" s="39">
        <f t="shared" si="5"/>
        <v>16626.714573894809</v>
      </c>
      <c r="J18" s="39">
        <f t="shared" si="12"/>
        <v>3880.8198913613901</v>
      </c>
      <c r="K18" s="39">
        <f t="shared" si="13"/>
        <v>1552.3279565445562</v>
      </c>
      <c r="L18" s="39">
        <f t="shared" si="14"/>
        <v>4527.6232065882868</v>
      </c>
      <c r="M18" s="39">
        <f t="shared" si="16"/>
        <v>26587.48562838904</v>
      </c>
      <c r="N18" s="39">
        <f t="shared" si="6"/>
        <v>606086.75666098157</v>
      </c>
      <c r="O18" s="39">
        <f t="shared" si="7"/>
        <v>0</v>
      </c>
      <c r="P18" s="39">
        <f>IF(SOLDE14&gt;0, SOLDE14,0)</f>
        <v>159865.53295446408</v>
      </c>
      <c r="Q18" s="39">
        <f t="shared" si="8"/>
        <v>34842.41242354818</v>
      </c>
      <c r="R18" s="40">
        <f t="shared" si="15"/>
        <v>411378.81128296931</v>
      </c>
      <c r="S18" s="89"/>
      <c r="T18" s="94" t="str">
        <f t="shared" si="9"/>
        <v>LOCATION</v>
      </c>
      <c r="U18" s="92">
        <f t="shared" si="10"/>
        <v>2259.3971351978253</v>
      </c>
      <c r="V18" s="8"/>
      <c r="W18" s="8"/>
      <c r="X18" s="8"/>
    </row>
    <row r="19" spans="1:24" x14ac:dyDescent="0.25">
      <c r="A19" s="7">
        <v>15</v>
      </c>
      <c r="B19" s="36">
        <f t="shared" si="11"/>
        <v>15833.745156754472</v>
      </c>
      <c r="C19" s="36">
        <f t="shared" si="0"/>
        <v>137951.57703576685</v>
      </c>
      <c r="D19" s="36">
        <f t="shared" si="1"/>
        <v>19313.220785007354</v>
      </c>
      <c r="E19" s="36">
        <f t="shared" si="2"/>
        <v>10952.955892724456</v>
      </c>
      <c r="F19" s="36">
        <f t="shared" si="3"/>
        <v>296281.04107938911</v>
      </c>
      <c r="G19" s="37">
        <f t="shared" si="4"/>
        <v>453545.8389001633</v>
      </c>
      <c r="H19" s="38"/>
      <c r="I19" s="39">
        <f t="shared" si="5"/>
        <v>16626.714573894809</v>
      </c>
      <c r="J19" s="39">
        <f t="shared" si="12"/>
        <v>3958.436289188618</v>
      </c>
      <c r="K19" s="39">
        <f t="shared" si="13"/>
        <v>1583.3745156754474</v>
      </c>
      <c r="L19" s="39">
        <f t="shared" si="14"/>
        <v>4618.1756707200529</v>
      </c>
      <c r="M19" s="39">
        <f t="shared" si="16"/>
        <v>26786.701049478928</v>
      </c>
      <c r="N19" s="39">
        <f t="shared" si="6"/>
        <v>630330.22692742082</v>
      </c>
      <c r="O19" s="39">
        <f t="shared" si="7"/>
        <v>0</v>
      </c>
      <c r="P19" s="39">
        <f>IF(SOLDE15&gt;0, SOLDE15,0)</f>
        <v>147069.5905040472</v>
      </c>
      <c r="Q19" s="39">
        <f t="shared" si="8"/>
        <v>36236.108920490107</v>
      </c>
      <c r="R19" s="40">
        <f t="shared" si="15"/>
        <v>447024.52750288346</v>
      </c>
      <c r="S19" s="89"/>
      <c r="T19" s="94" t="str">
        <f t="shared" si="9"/>
        <v>LOCATION</v>
      </c>
      <c r="U19" s="92">
        <f t="shared" si="10"/>
        <v>6521.3113972798456</v>
      </c>
      <c r="V19" s="8"/>
      <c r="W19" s="8"/>
      <c r="X19" s="8"/>
    </row>
    <row r="20" spans="1:24" x14ac:dyDescent="0.25">
      <c r="A20" s="7">
        <v>16</v>
      </c>
      <c r="B20" s="36">
        <f t="shared" si="11"/>
        <v>16150.420059889562</v>
      </c>
      <c r="C20" s="36">
        <f t="shared" si="0"/>
        <v>147608.18742827055</v>
      </c>
      <c r="D20" s="36">
        <f t="shared" si="1"/>
        <v>20665.14623995787</v>
      </c>
      <c r="E20" s="36">
        <f t="shared" si="2"/>
        <v>10839.480719101044</v>
      </c>
      <c r="F20" s="36">
        <f t="shared" si="3"/>
        <v>327860.19467404741</v>
      </c>
      <c r="G20" s="37">
        <f t="shared" si="4"/>
        <v>496133.52834227582</v>
      </c>
      <c r="H20" s="38"/>
      <c r="I20" s="39">
        <f t="shared" si="5"/>
        <v>16626.714573894809</v>
      </c>
      <c r="J20" s="39">
        <f t="shared" si="12"/>
        <v>4037.6050149723906</v>
      </c>
      <c r="K20" s="39">
        <f t="shared" si="13"/>
        <v>1615.0420059889564</v>
      </c>
      <c r="L20" s="39">
        <f t="shared" si="14"/>
        <v>4710.5391841344544</v>
      </c>
      <c r="M20" s="39">
        <f t="shared" si="16"/>
        <v>26989.900778990606</v>
      </c>
      <c r="N20" s="39">
        <f t="shared" si="6"/>
        <v>655543.43600451772</v>
      </c>
      <c r="O20" s="39">
        <f t="shared" si="7"/>
        <v>0</v>
      </c>
      <c r="P20" s="39">
        <f>IF(SOLDE16&gt;0, SOLDE16,0)</f>
        <v>133951.75012636199</v>
      </c>
      <c r="Q20" s="39">
        <f t="shared" si="8"/>
        <v>37685.553277309715</v>
      </c>
      <c r="R20" s="40">
        <f t="shared" si="15"/>
        <v>483906.13260084606</v>
      </c>
      <c r="S20" s="89"/>
      <c r="T20" s="94" t="str">
        <f t="shared" si="9"/>
        <v>LOCATION</v>
      </c>
      <c r="U20" s="92">
        <f t="shared" si="10"/>
        <v>12227.395741429762</v>
      </c>
      <c r="V20" s="8"/>
      <c r="W20" s="8"/>
      <c r="X20" s="8"/>
    </row>
    <row r="21" spans="1:24" x14ac:dyDescent="0.25">
      <c r="A21" s="7">
        <v>17</v>
      </c>
      <c r="B21" s="36">
        <f t="shared" si="11"/>
        <v>16473.428461087355</v>
      </c>
      <c r="C21" s="36">
        <f t="shared" si="0"/>
        <v>157940.7605482495</v>
      </c>
      <c r="D21" s="36">
        <f t="shared" si="1"/>
        <v>22111.706476754924</v>
      </c>
      <c r="E21" s="36">
        <f t="shared" si="2"/>
        <v>10723.736042005174</v>
      </c>
      <c r="F21" s="36">
        <f t="shared" si="3"/>
        <v>361534.14434323594</v>
      </c>
      <c r="G21" s="37">
        <f t="shared" si="4"/>
        <v>541586.61136824032</v>
      </c>
      <c r="H21" s="38"/>
      <c r="I21" s="39">
        <f t="shared" si="5"/>
        <v>16626.714573894809</v>
      </c>
      <c r="J21" s="39">
        <f t="shared" si="12"/>
        <v>4118.3571152718387</v>
      </c>
      <c r="K21" s="39">
        <f t="shared" si="13"/>
        <v>1647.3428461087356</v>
      </c>
      <c r="L21" s="39">
        <f t="shared" si="14"/>
        <v>4804.7499678171434</v>
      </c>
      <c r="M21" s="39">
        <f t="shared" si="16"/>
        <v>27197.164503092528</v>
      </c>
      <c r="N21" s="39">
        <f t="shared" si="6"/>
        <v>681765.17344469845</v>
      </c>
      <c r="O21" s="39">
        <f t="shared" si="7"/>
        <v>0</v>
      </c>
      <c r="P21" s="39">
        <f>IF(SOLDE17&gt;0, SOLDE17,0)</f>
        <v>120503.91407667563</v>
      </c>
      <c r="Q21" s="39">
        <f t="shared" si="8"/>
        <v>39192.975408402104</v>
      </c>
      <c r="R21" s="40">
        <f t="shared" si="15"/>
        <v>522068.28395962069</v>
      </c>
      <c r="S21" s="89"/>
      <c r="T21" s="94" t="str">
        <f t="shared" si="9"/>
        <v>LOCATION</v>
      </c>
      <c r="U21" s="92">
        <f t="shared" si="10"/>
        <v>19518.327408619632</v>
      </c>
      <c r="V21" s="8"/>
      <c r="W21" s="8"/>
      <c r="X21" s="8"/>
    </row>
    <row r="22" spans="1:24" x14ac:dyDescent="0.25">
      <c r="A22" s="7">
        <v>18</v>
      </c>
      <c r="B22" s="36">
        <f t="shared" si="11"/>
        <v>16802.897030309101</v>
      </c>
      <c r="C22" s="36">
        <f t="shared" si="0"/>
        <v>168996.61378662699</v>
      </c>
      <c r="D22" s="36">
        <f t="shared" si="1"/>
        <v>23659.525930127769</v>
      </c>
      <c r="E22" s="36">
        <f t="shared" si="2"/>
        <v>10605.67647136738</v>
      </c>
      <c r="F22" s="36">
        <f t="shared" si="3"/>
        <v>397447.21091862983</v>
      </c>
      <c r="G22" s="37">
        <f t="shared" si="4"/>
        <v>590103.35063538456</v>
      </c>
      <c r="H22" s="38"/>
      <c r="I22" s="39">
        <f t="shared" si="5"/>
        <v>16626.714573894809</v>
      </c>
      <c r="J22" s="39">
        <f t="shared" si="12"/>
        <v>4200.7242575772752</v>
      </c>
      <c r="K22" s="39">
        <f t="shared" si="13"/>
        <v>1680.2897030309102</v>
      </c>
      <c r="L22" s="39">
        <f t="shared" si="14"/>
        <v>4900.8449671734861</v>
      </c>
      <c r="M22" s="39">
        <f t="shared" si="16"/>
        <v>27408.573501676481</v>
      </c>
      <c r="N22" s="39">
        <f t="shared" si="6"/>
        <v>709035.78038248641</v>
      </c>
      <c r="O22" s="39">
        <f t="shared" si="7"/>
        <v>0</v>
      </c>
      <c r="P22" s="39">
        <f>IF(SOLDE18&gt;0, SOLDE18,0)</f>
        <v>106717.78090136436</v>
      </c>
      <c r="Q22" s="39">
        <f t="shared" si="8"/>
        <v>40760.694424738191</v>
      </c>
      <c r="R22" s="40">
        <f t="shared" si="15"/>
        <v>561557.30505638383</v>
      </c>
      <c r="S22" s="89"/>
      <c r="T22" s="94" t="str">
        <f t="shared" si="9"/>
        <v>LOCATION</v>
      </c>
      <c r="U22" s="92">
        <f t="shared" si="10"/>
        <v>28546.045579000725</v>
      </c>
      <c r="V22" s="8"/>
      <c r="W22" s="8"/>
      <c r="X22" s="8"/>
    </row>
    <row r="23" spans="1:24" x14ac:dyDescent="0.25">
      <c r="A23" s="7">
        <v>19</v>
      </c>
      <c r="B23" s="36">
        <f t="shared" si="11"/>
        <v>17138.954970915282</v>
      </c>
      <c r="C23" s="36">
        <f t="shared" si="0"/>
        <v>180826.3767516909</v>
      </c>
      <c r="D23" s="36">
        <f t="shared" si="1"/>
        <v>25315.692745236716</v>
      </c>
      <c r="E23" s="36">
        <f t="shared" si="2"/>
        <v>10485.255709316833</v>
      </c>
      <c r="F23" s="36">
        <f t="shared" si="3"/>
        <v>435753.77139225078</v>
      </c>
      <c r="G23" s="37">
        <f t="shared" si="4"/>
        <v>641895.84088917845</v>
      </c>
      <c r="H23" s="38"/>
      <c r="I23" s="39">
        <f t="shared" si="5"/>
        <v>16626.714573894809</v>
      </c>
      <c r="J23" s="39">
        <f t="shared" si="12"/>
        <v>4284.7387427288204</v>
      </c>
      <c r="K23" s="39">
        <f t="shared" si="13"/>
        <v>1713.8954970915286</v>
      </c>
      <c r="L23" s="39">
        <f t="shared" si="14"/>
        <v>4998.8618665169561</v>
      </c>
      <c r="M23" s="39">
        <f t="shared" si="16"/>
        <v>27624.210680232114</v>
      </c>
      <c r="N23" s="39">
        <f t="shared" si="6"/>
        <v>737397.21159778594</v>
      </c>
      <c r="O23" s="39">
        <f t="shared" si="7"/>
        <v>0</v>
      </c>
      <c r="P23" s="39">
        <f>IF(SOLDE19&gt;0, SOLDE19,0)</f>
        <v>92584.840313361638</v>
      </c>
      <c r="Q23" s="39">
        <f t="shared" si="8"/>
        <v>42391.122201727718</v>
      </c>
      <c r="R23" s="40">
        <f t="shared" si="15"/>
        <v>602421.24908269662</v>
      </c>
      <c r="S23" s="89"/>
      <c r="T23" s="94" t="str">
        <f t="shared" si="9"/>
        <v>LOCATION</v>
      </c>
      <c r="U23" s="92">
        <f t="shared" si="10"/>
        <v>39474.591806481825</v>
      </c>
      <c r="V23" s="8"/>
      <c r="W23" s="8"/>
      <c r="X23" s="8"/>
    </row>
    <row r="24" spans="1:24" x14ac:dyDescent="0.25">
      <c r="A24" s="7">
        <v>20</v>
      </c>
      <c r="B24" s="36">
        <f t="shared" si="11"/>
        <v>17481.734070333587</v>
      </c>
      <c r="C24" s="36">
        <f t="shared" si="0"/>
        <v>193484.22312430927</v>
      </c>
      <c r="D24" s="36">
        <f t="shared" si="1"/>
        <v>27087.791237403289</v>
      </c>
      <c r="E24" s="36">
        <f t="shared" si="2"/>
        <v>10362.426532025274</v>
      </c>
      <c r="F24" s="36">
        <f t="shared" si="3"/>
        <v>476618.96192173363</v>
      </c>
      <c r="G24" s="37">
        <f t="shared" si="4"/>
        <v>697190.97628344619</v>
      </c>
      <c r="H24" s="38"/>
      <c r="I24" s="39">
        <f t="shared" si="5"/>
        <v>16626.714573894809</v>
      </c>
      <c r="J24" s="39">
        <f t="shared" si="12"/>
        <v>4370.4335175833967</v>
      </c>
      <c r="K24" s="39">
        <f t="shared" si="13"/>
        <v>1748.1734070333591</v>
      </c>
      <c r="L24" s="39">
        <f t="shared" si="14"/>
        <v>5098.8391038472955</v>
      </c>
      <c r="M24" s="39">
        <f t="shared" si="16"/>
        <v>27844.160602358861</v>
      </c>
      <c r="N24" s="39">
        <f t="shared" si="6"/>
        <v>766893.10006169742</v>
      </c>
      <c r="O24" s="39">
        <f t="shared" si="7"/>
        <v>0</v>
      </c>
      <c r="P24" s="39">
        <f>IF(SOLDE20&gt;0, SOLDE20,0)</f>
        <v>78096.367938691968</v>
      </c>
      <c r="Q24" s="39">
        <f t="shared" si="8"/>
        <v>44086.767089796835</v>
      </c>
      <c r="R24" s="40">
        <f t="shared" si="15"/>
        <v>644709.9650332086</v>
      </c>
      <c r="S24" s="89"/>
      <c r="T24" s="94" t="str">
        <f t="shared" si="9"/>
        <v>LOCATION</v>
      </c>
      <c r="U24" s="92">
        <f t="shared" si="10"/>
        <v>52481.011250237585</v>
      </c>
      <c r="V24" s="8"/>
      <c r="W24" s="8"/>
      <c r="X24" s="8"/>
    </row>
    <row r="25" spans="1:24" x14ac:dyDescent="0.25">
      <c r="A25" s="7">
        <v>21</v>
      </c>
      <c r="B25" s="36">
        <f t="shared" si="11"/>
        <v>17831.368751740258</v>
      </c>
      <c r="C25" s="36">
        <f t="shared" si="0"/>
        <v>207028.11874301094</v>
      </c>
      <c r="D25" s="36">
        <f t="shared" si="1"/>
        <v>28983.93662402152</v>
      </c>
      <c r="E25" s="36">
        <f t="shared" si="2"/>
        <v>10237.140771187886</v>
      </c>
      <c r="F25" s="36">
        <f t="shared" si="3"/>
        <v>520219.43002744293</v>
      </c>
      <c r="G25" s="37">
        <f t="shared" si="4"/>
        <v>756231.4853944754</v>
      </c>
      <c r="H25" s="38"/>
      <c r="I25" s="39">
        <f t="shared" si="5"/>
        <v>16626.714573894809</v>
      </c>
      <c r="J25" s="39">
        <f t="shared" si="12"/>
        <v>4457.8421879350644</v>
      </c>
      <c r="K25" s="39">
        <f t="shared" si="13"/>
        <v>1783.1368751740263</v>
      </c>
      <c r="L25" s="39">
        <f t="shared" si="14"/>
        <v>5200.8158859242412</v>
      </c>
      <c r="M25" s="39">
        <f t="shared" si="16"/>
        <v>28068.509522928143</v>
      </c>
      <c r="N25" s="39">
        <f t="shared" si="6"/>
        <v>797568.82406416535</v>
      </c>
      <c r="O25" s="39">
        <f t="shared" si="7"/>
        <v>0</v>
      </c>
      <c r="P25" s="39">
        <f>IF(SOLDE21&gt;0, SOLDE21,0)</f>
        <v>63243.419930847034</v>
      </c>
      <c r="Q25" s="39">
        <f t="shared" si="8"/>
        <v>45850.237773388712</v>
      </c>
      <c r="R25" s="40">
        <f t="shared" si="15"/>
        <v>688475.1663599296</v>
      </c>
      <c r="S25" s="89"/>
      <c r="T25" s="94" t="str">
        <f t="shared" si="9"/>
        <v>LOCATION</v>
      </c>
      <c r="U25" s="92">
        <f t="shared" si="10"/>
        <v>67756.319034545799</v>
      </c>
      <c r="V25" s="8"/>
      <c r="W25" s="8"/>
      <c r="X25" s="8"/>
    </row>
    <row r="26" spans="1:24" x14ac:dyDescent="0.25">
      <c r="A26" s="7">
        <v>22</v>
      </c>
      <c r="B26" s="36">
        <f t="shared" si="11"/>
        <v>18187.996126775062</v>
      </c>
      <c r="C26" s="36">
        <f t="shared" si="0"/>
        <v>221520.08705502172</v>
      </c>
      <c r="D26" s="36">
        <f t="shared" si="1"/>
        <v>31012.812187703028</v>
      </c>
      <c r="E26" s="36">
        <f t="shared" si="2"/>
        <v>10109.349295133747</v>
      </c>
      <c r="F26" s="36">
        <f t="shared" si="3"/>
        <v>566744.13942449773</v>
      </c>
      <c r="G26" s="37">
        <f t="shared" si="4"/>
        <v>819277.03866722248</v>
      </c>
      <c r="H26" s="38"/>
      <c r="I26" s="39">
        <f t="shared" si="5"/>
        <v>16626.714573894809</v>
      </c>
      <c r="J26" s="39">
        <f t="shared" si="12"/>
        <v>4546.9990316937656</v>
      </c>
      <c r="K26" s="39">
        <f t="shared" si="13"/>
        <v>1818.7996126775067</v>
      </c>
      <c r="L26" s="39">
        <f t="shared" si="14"/>
        <v>5304.8322036427262</v>
      </c>
      <c r="M26" s="39">
        <f t="shared" si="16"/>
        <v>28297.345421908809</v>
      </c>
      <c r="N26" s="39">
        <f t="shared" si="6"/>
        <v>829471.57702673203</v>
      </c>
      <c r="O26" s="39">
        <f t="shared" si="7"/>
        <v>0</v>
      </c>
      <c r="P26" s="39">
        <f>IF(SOLDE22&gt;0, SOLDE22,0)</f>
        <v>48016.827449679738</v>
      </c>
      <c r="Q26" s="39">
        <f t="shared" si="8"/>
        <v>47684.247284324265</v>
      </c>
      <c r="R26" s="40">
        <f t="shared" si="15"/>
        <v>733770.50229272805</v>
      </c>
      <c r="S26" s="89"/>
      <c r="T26" s="94" t="str">
        <f t="shared" si="9"/>
        <v>LOCATION</v>
      </c>
      <c r="U26" s="92">
        <f t="shared" si="10"/>
        <v>85506.536374494433</v>
      </c>
      <c r="V26" s="8"/>
      <c r="W26" s="8"/>
      <c r="X26" s="8"/>
    </row>
    <row r="27" spans="1:24" x14ac:dyDescent="0.25">
      <c r="A27" s="7">
        <v>23</v>
      </c>
      <c r="B27" s="36">
        <f t="shared" si="11"/>
        <v>18551.756049310563</v>
      </c>
      <c r="C27" s="36">
        <f t="shared" si="0"/>
        <v>237026.49314887327</v>
      </c>
      <c r="D27" s="36">
        <f t="shared" si="1"/>
        <v>33183.709040842245</v>
      </c>
      <c r="E27" s="36">
        <f t="shared" si="2"/>
        <v>9979.001989558521</v>
      </c>
      <c r="F27" s="36">
        <f t="shared" si="3"/>
        <v>616395.2311737712</v>
      </c>
      <c r="G27" s="37">
        <f t="shared" si="4"/>
        <v>886605.43336348678</v>
      </c>
      <c r="H27" s="38"/>
      <c r="I27" s="39">
        <f t="shared" si="5"/>
        <v>16626.714573894809</v>
      </c>
      <c r="J27" s="39">
        <f t="shared" si="12"/>
        <v>4637.9390123276407</v>
      </c>
      <c r="K27" s="39">
        <f t="shared" si="13"/>
        <v>1855.1756049310568</v>
      </c>
      <c r="L27" s="39">
        <f t="shared" si="14"/>
        <v>5410.9288477155806</v>
      </c>
      <c r="M27" s="39">
        <f t="shared" si="16"/>
        <v>28530.758038869084</v>
      </c>
      <c r="N27" s="39">
        <f t="shared" si="6"/>
        <v>862650.44010780135</v>
      </c>
      <c r="O27" s="39">
        <f t="shared" si="7"/>
        <v>0</v>
      </c>
      <c r="P27" s="39">
        <f>IF(SOLDE23&gt;0, SOLDE23,0)</f>
        <v>32407.191001408086</v>
      </c>
      <c r="Q27" s="39">
        <f t="shared" si="8"/>
        <v>49591.617175697233</v>
      </c>
      <c r="R27" s="40">
        <f t="shared" si="15"/>
        <v>780651.63193069608</v>
      </c>
      <c r="S27" s="89"/>
      <c r="T27" s="94" t="str">
        <f t="shared" si="9"/>
        <v>LOCATION</v>
      </c>
      <c r="U27" s="92">
        <f t="shared" si="10"/>
        <v>105953.8014327907</v>
      </c>
      <c r="V27" s="8"/>
      <c r="W27" s="8"/>
      <c r="X27" s="8"/>
    </row>
    <row r="28" spans="1:24" x14ac:dyDescent="0.25">
      <c r="A28" s="7">
        <v>24</v>
      </c>
      <c r="B28" s="36">
        <f t="shared" si="11"/>
        <v>18922.791170296776</v>
      </c>
      <c r="C28" s="36">
        <f t="shared" si="0"/>
        <v>253618.34766929442</v>
      </c>
      <c r="D28" s="36">
        <f t="shared" si="1"/>
        <v>35506.5686737012</v>
      </c>
      <c r="E28" s="36">
        <f t="shared" si="2"/>
        <v>9846.0477378717987</v>
      </c>
      <c r="F28" s="36">
        <f t="shared" si="3"/>
        <v>669388.94509380695</v>
      </c>
      <c r="G28" s="37">
        <f t="shared" si="4"/>
        <v>958513.86143680254</v>
      </c>
      <c r="H28" s="38"/>
      <c r="I28" s="39">
        <f t="shared" si="5"/>
        <v>16626.714573894809</v>
      </c>
      <c r="J28" s="39">
        <f t="shared" si="12"/>
        <v>4730.697792574194</v>
      </c>
      <c r="K28" s="39">
        <f t="shared" si="13"/>
        <v>1892.279117029678</v>
      </c>
      <c r="L28" s="39">
        <f t="shared" si="14"/>
        <v>5519.1474246698926</v>
      </c>
      <c r="M28" s="39">
        <f t="shared" si="16"/>
        <v>28768.838908168575</v>
      </c>
      <c r="N28" s="39">
        <f t="shared" si="6"/>
        <v>897156.45771211339</v>
      </c>
      <c r="O28" s="39">
        <f t="shared" si="7"/>
        <v>0</v>
      </c>
      <c r="P28" s="39">
        <f>IF(SOLDE24&gt;0, SOLDE24,0)</f>
        <v>16404.874636234592</v>
      </c>
      <c r="Q28" s="39">
        <f t="shared" si="8"/>
        <v>51575.281862725125</v>
      </c>
      <c r="R28" s="40">
        <f t="shared" si="15"/>
        <v>829176.30121315364</v>
      </c>
      <c r="S28" s="89"/>
      <c r="T28" s="94" t="str">
        <f t="shared" si="9"/>
        <v>LOCATION</v>
      </c>
      <c r="U28" s="92">
        <f t="shared" si="10"/>
        <v>129337.56022364891</v>
      </c>
      <c r="V28" s="8"/>
      <c r="W28" s="8"/>
      <c r="X28" s="8"/>
    </row>
    <row r="29" spans="1:24" x14ac:dyDescent="0.25">
      <c r="A29" s="7">
        <v>25</v>
      </c>
      <c r="B29" s="36">
        <f t="shared" si="11"/>
        <v>19301.246993702713</v>
      </c>
      <c r="C29" s="36">
        <f t="shared" si="0"/>
        <v>271371.63200614502</v>
      </c>
      <c r="D29" s="36">
        <f t="shared" si="1"/>
        <v>37992.028480860288</v>
      </c>
      <c r="E29" s="36">
        <f t="shared" si="2"/>
        <v>9710.4344011513385</v>
      </c>
      <c r="F29" s="36">
        <f t="shared" si="3"/>
        <v>725956.60565152485</v>
      </c>
      <c r="G29" s="37">
        <f t="shared" si="4"/>
        <v>1035320.2661385301</v>
      </c>
      <c r="H29" s="38"/>
      <c r="I29" s="39">
        <f t="shared" si="5"/>
        <v>16626.714573894809</v>
      </c>
      <c r="J29" s="39">
        <f t="shared" si="12"/>
        <v>4825.3117484256782</v>
      </c>
      <c r="K29" s="39">
        <f t="shared" si="13"/>
        <v>1930.1246993702716</v>
      </c>
      <c r="L29" s="39">
        <f t="shared" si="14"/>
        <v>5629.5303731632903</v>
      </c>
      <c r="M29" s="39">
        <f t="shared" si="16"/>
        <v>29011.681394854051</v>
      </c>
      <c r="N29" s="39">
        <f t="shared" si="6"/>
        <v>933042.71602059796</v>
      </c>
      <c r="O29" s="39">
        <f t="shared" si="7"/>
        <v>0</v>
      </c>
      <c r="P29" s="39">
        <f>IF(SOLDE25&gt;0, SOLDE25,0)</f>
        <v>0</v>
      </c>
      <c r="Q29" s="39">
        <f t="shared" si="8"/>
        <v>53638.293137234134</v>
      </c>
      <c r="R29" s="40">
        <f t="shared" si="15"/>
        <v>879404.42288336379</v>
      </c>
      <c r="S29" s="89"/>
      <c r="T29" s="94" t="str">
        <f t="shared" si="9"/>
        <v>LOCATION</v>
      </c>
      <c r="U29" s="92">
        <f t="shared" si="10"/>
        <v>155915.84325516631</v>
      </c>
    </row>
    <row r="30" spans="1:24" x14ac:dyDescent="0.25">
      <c r="A30" s="7">
        <v>26</v>
      </c>
      <c r="B30" s="36">
        <f t="shared" si="11"/>
        <v>19687.271933576769</v>
      </c>
      <c r="C30" s="36">
        <f t="shared" si="0"/>
        <v>290367.64624657517</v>
      </c>
      <c r="D30" s="36">
        <f t="shared" si="1"/>
        <v>40651.470474520509</v>
      </c>
      <c r="E30" s="36">
        <f t="shared" si="2"/>
        <v>-7054.6057761983429</v>
      </c>
      <c r="F30" s="36">
        <f t="shared" si="3"/>
        <v>776773.56804713164</v>
      </c>
      <c r="G30" s="37">
        <f t="shared" si="4"/>
        <v>1107792.6847682274</v>
      </c>
      <c r="H30" s="38"/>
      <c r="I30" s="39" t="str">
        <f t="shared" si="5"/>
        <v/>
      </c>
      <c r="J30" s="39">
        <f t="shared" si="12"/>
        <v>4921.8179833941922</v>
      </c>
      <c r="K30" s="39">
        <f t="shared" si="13"/>
        <v>1968.7271933576772</v>
      </c>
      <c r="L30" s="39">
        <f t="shared" si="14"/>
        <v>5742.120980626556</v>
      </c>
      <c r="M30" s="39">
        <f t="shared" si="16"/>
        <v>12632.666157378426</v>
      </c>
      <c r="N30" s="39">
        <f t="shared" si="6"/>
        <v>970364.42466142192</v>
      </c>
      <c r="O30" s="39">
        <f t="shared" si="7"/>
        <v>7054.6057761983429</v>
      </c>
      <c r="P30" s="39">
        <v>0</v>
      </c>
      <c r="Q30" s="39">
        <f t="shared" si="8"/>
        <v>55783.824862723493</v>
      </c>
      <c r="R30" s="40">
        <f t="shared" si="15"/>
        <v>921635.20557489677</v>
      </c>
      <c r="S30" s="89"/>
      <c r="T30" s="94" t="str">
        <f t="shared" si="9"/>
        <v>LOCATION</v>
      </c>
      <c r="U30" s="92">
        <f t="shared" si="10"/>
        <v>186157.47919333063</v>
      </c>
    </row>
    <row r="31" spans="1:24" x14ac:dyDescent="0.25">
      <c r="A31" s="7">
        <v>27</v>
      </c>
      <c r="B31" s="36">
        <f t="shared" si="11"/>
        <v>20081.017372248305</v>
      </c>
      <c r="C31" s="36">
        <f t="shared" si="0"/>
        <v>310693.38148383546</v>
      </c>
      <c r="D31" s="36">
        <f t="shared" si="1"/>
        <v>43497.073407736949</v>
      </c>
      <c r="E31" s="36">
        <f t="shared" si="2"/>
        <v>-7195.6978917223096</v>
      </c>
      <c r="F31" s="36">
        <f t="shared" si="3"/>
        <v>831147.71781043091</v>
      </c>
      <c r="G31" s="37">
        <f t="shared" si="4"/>
        <v>1185338.1727020033</v>
      </c>
      <c r="H31" s="38"/>
      <c r="I31" s="39" t="str">
        <f t="shared" si="5"/>
        <v/>
      </c>
      <c r="J31" s="39">
        <f t="shared" si="12"/>
        <v>5020.2543430620763</v>
      </c>
      <c r="K31" s="39">
        <f t="shared" si="13"/>
        <v>2008.1017372248307</v>
      </c>
      <c r="L31" s="39">
        <f t="shared" si="14"/>
        <v>5856.9634002390876</v>
      </c>
      <c r="M31" s="39">
        <f>SUM(I31:L31)</f>
        <v>12885.319480525995</v>
      </c>
      <c r="N31" s="39">
        <f t="shared" si="6"/>
        <v>1009179.0016478788</v>
      </c>
      <c r="O31" s="39">
        <f t="shared" si="7"/>
        <v>14744.126072254538</v>
      </c>
      <c r="P31" s="39">
        <v>0</v>
      </c>
      <c r="Q31" s="39">
        <f t="shared" si="8"/>
        <v>58015.17785723244</v>
      </c>
      <c r="R31" s="40">
        <f t="shared" si="15"/>
        <v>965907.94986290089</v>
      </c>
      <c r="S31" s="89"/>
      <c r="T31" s="94" t="str">
        <f t="shared" si="9"/>
        <v>LOCATION</v>
      </c>
      <c r="U31" s="92">
        <f t="shared" si="10"/>
        <v>219430.22283910238</v>
      </c>
    </row>
    <row r="32" spans="1:24" x14ac:dyDescent="0.25">
      <c r="A32" s="7">
        <v>28</v>
      </c>
      <c r="B32" s="36">
        <f t="shared" si="11"/>
        <v>20482.63771969327</v>
      </c>
      <c r="C32" s="36">
        <f t="shared" si="0"/>
        <v>332441.91818770394</v>
      </c>
      <c r="D32" s="36">
        <f t="shared" si="1"/>
        <v>46541.868546278536</v>
      </c>
      <c r="E32" s="36">
        <f t="shared" si="2"/>
        <v>-7339.6118495567553</v>
      </c>
      <c r="F32" s="36">
        <f t="shared" si="3"/>
        <v>889328.05805716116</v>
      </c>
      <c r="G32" s="37">
        <f t="shared" si="4"/>
        <v>1268311.8447911437</v>
      </c>
      <c r="H32" s="38"/>
      <c r="I32" s="39" t="str">
        <f t="shared" si="5"/>
        <v/>
      </c>
      <c r="J32" s="39">
        <f t="shared" si="12"/>
        <v>5120.6594299233175</v>
      </c>
      <c r="K32" s="39">
        <f t="shared" si="13"/>
        <v>2048.2637719693275</v>
      </c>
      <c r="L32" s="39">
        <f t="shared" si="14"/>
        <v>5974.1026682438696</v>
      </c>
      <c r="M32" s="39">
        <f t="shared" si="16"/>
        <v>13143.025870136515</v>
      </c>
      <c r="N32" s="39">
        <f t="shared" si="6"/>
        <v>1049546.1617137939</v>
      </c>
      <c r="O32" s="39">
        <f t="shared" si="7"/>
        <v>23115.826746869112</v>
      </c>
      <c r="P32" s="39">
        <v>0</v>
      </c>
      <c r="Q32" s="39">
        <f t="shared" si="8"/>
        <v>60335.784971521738</v>
      </c>
      <c r="R32" s="40">
        <f t="shared" si="15"/>
        <v>1012326.2034891413</v>
      </c>
      <c r="S32" s="89"/>
      <c r="T32" s="94" t="str">
        <f t="shared" si="9"/>
        <v>LOCATION</v>
      </c>
      <c r="U32" s="92">
        <f t="shared" si="10"/>
        <v>255985.64130200236</v>
      </c>
    </row>
    <row r="33" spans="1:21" x14ac:dyDescent="0.25">
      <c r="A33" s="7">
        <v>29</v>
      </c>
      <c r="B33" s="36">
        <f t="shared" si="11"/>
        <v>20892.290474087134</v>
      </c>
      <c r="C33" s="36">
        <f t="shared" si="0"/>
        <v>355712.85246084322</v>
      </c>
      <c r="D33" s="36">
        <f t="shared" si="1"/>
        <v>49799.79934451804</v>
      </c>
      <c r="E33" s="36">
        <f t="shared" si="2"/>
        <v>-7486.4040865478892</v>
      </c>
      <c r="F33" s="36">
        <f t="shared" si="3"/>
        <v>951581.0221211625</v>
      </c>
      <c r="G33" s="37">
        <f t="shared" si="4"/>
        <v>1357093.6739265239</v>
      </c>
      <c r="H33" s="38"/>
      <c r="I33" s="39" t="str">
        <f t="shared" si="5"/>
        <v/>
      </c>
      <c r="J33" s="39">
        <f t="shared" si="12"/>
        <v>5223.0726185217836</v>
      </c>
      <c r="K33" s="39">
        <f t="shared" si="13"/>
        <v>2089.229047408714</v>
      </c>
      <c r="L33" s="39">
        <f t="shared" si="14"/>
        <v>6093.5847216087468</v>
      </c>
      <c r="M33" s="39">
        <f t="shared" si="16"/>
        <v>13405.886387539245</v>
      </c>
      <c r="N33" s="39">
        <f t="shared" si="6"/>
        <v>1091528.0081823457</v>
      </c>
      <c r="O33" s="39">
        <f t="shared" si="7"/>
        <v>32220.338705697839</v>
      </c>
      <c r="P33" s="39">
        <v>0</v>
      </c>
      <c r="Q33" s="39">
        <f t="shared" si="8"/>
        <v>62749.216370382601</v>
      </c>
      <c r="R33" s="40">
        <f t="shared" si="15"/>
        <v>1060999.1305176609</v>
      </c>
      <c r="S33" s="89"/>
      <c r="T33" s="94" t="str">
        <f t="shared" si="9"/>
        <v>LOCATION</v>
      </c>
      <c r="U33" s="92">
        <f t="shared" si="10"/>
        <v>296094.54340886301</v>
      </c>
    </row>
    <row r="34" spans="1:21" x14ac:dyDescent="0.25">
      <c r="A34" s="7">
        <v>30</v>
      </c>
      <c r="B34" s="41">
        <f t="shared" si="11"/>
        <v>21310.136283568878</v>
      </c>
      <c r="C34" s="41">
        <f t="shared" si="0"/>
        <v>380612.75213310227</v>
      </c>
      <c r="D34" s="41">
        <f t="shared" si="1"/>
        <v>53285.785298634306</v>
      </c>
      <c r="E34" s="41">
        <f t="shared" si="2"/>
        <v>-7636.1321682788475</v>
      </c>
      <c r="F34" s="41">
        <f t="shared" si="3"/>
        <v>1018191.693669644</v>
      </c>
      <c r="G34" s="42">
        <f t="shared" si="4"/>
        <v>1452090.2311013807</v>
      </c>
      <c r="H34" s="38"/>
      <c r="I34" s="43" t="str">
        <f t="shared" si="5"/>
        <v/>
      </c>
      <c r="J34" s="43">
        <f t="shared" si="12"/>
        <v>5327.5340708922195</v>
      </c>
      <c r="K34" s="43">
        <f t="shared" si="13"/>
        <v>2131.0136283568881</v>
      </c>
      <c r="L34" s="43">
        <f t="shared" si="14"/>
        <v>6215.4564160409218</v>
      </c>
      <c r="M34" s="43">
        <f t="shared" si="16"/>
        <v>13674.00411529003</v>
      </c>
      <c r="N34" s="43">
        <f t="shared" si="6"/>
        <v>1135189.1285096395</v>
      </c>
      <c r="O34" s="43">
        <f t="shared" si="7"/>
        <v>42111.894583375535</v>
      </c>
      <c r="P34" s="43">
        <v>0</v>
      </c>
      <c r="Q34" s="43">
        <f t="shared" si="8"/>
        <v>65259.185025197905</v>
      </c>
      <c r="R34" s="44">
        <f t="shared" si="15"/>
        <v>1112041.838067817</v>
      </c>
      <c r="S34" s="89"/>
      <c r="T34" s="95" t="str">
        <f t="shared" si="9"/>
        <v>LOCATION</v>
      </c>
      <c r="U34" s="92">
        <f t="shared" si="10"/>
        <v>340048.39303356363</v>
      </c>
    </row>
    <row r="35" spans="1:21" ht="12" customHeight="1" x14ac:dyDescent="0.25">
      <c r="G35" s="5"/>
      <c r="H35" s="5"/>
      <c r="I35" s="5"/>
    </row>
    <row r="36" spans="1:21" x14ac:dyDescent="0.25">
      <c r="B36" s="10"/>
      <c r="J36" s="9"/>
    </row>
    <row r="37" spans="1:21" ht="6" customHeight="1" x14ac:dyDescent="0.25"/>
    <row r="38" spans="1:21" x14ac:dyDescent="0.25">
      <c r="B38" s="10"/>
    </row>
    <row r="39" spans="1:21" ht="5.25" customHeight="1" x14ac:dyDescent="0.25"/>
    <row r="40" spans="1:21" x14ac:dyDescent="0.25">
      <c r="B40" s="10"/>
    </row>
    <row r="41" spans="1:21" ht="6" customHeight="1" x14ac:dyDescent="0.25"/>
    <row r="43" spans="1:21" ht="7.5" customHeight="1" x14ac:dyDescent="0.25"/>
    <row r="45" spans="1:21" ht="13.5" customHeight="1" x14ac:dyDescent="0.25"/>
  </sheetData>
  <mergeCells count="2">
    <mergeCell ref="B2:G2"/>
    <mergeCell ref="I2:R2"/>
  </mergeCells>
  <conditionalFormatting sqref="T4:T34">
    <cfRule type="containsText" dxfId="1" priority="2" operator="containsText" text="ACHAT">
      <formula>NOT(ISERROR(SEARCH("ACHAT",T4)))</formula>
    </cfRule>
  </conditionalFormatting>
  <conditionalFormatting sqref="T4:T34">
    <cfRule type="containsText" dxfId="0" priority="1" operator="containsText" text="LOCATION">
      <formula>NOT(ISERROR(SEARCH("LOCATION",T4)))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03"/>
  <sheetViews>
    <sheetView zoomScale="75" zoomScaleNormal="75" workbookViewId="0">
      <selection activeCell="O6" sqref="O6"/>
    </sheetView>
  </sheetViews>
  <sheetFormatPr baseColWidth="10" defaultRowHeight="15" x14ac:dyDescent="0.25"/>
  <cols>
    <col min="1" max="1" width="3" style="3" customWidth="1"/>
    <col min="2" max="2" width="42.5703125" style="3" customWidth="1"/>
    <col min="3" max="3" width="13.140625" style="3" customWidth="1"/>
    <col min="4" max="4" width="2.28515625" style="3" customWidth="1"/>
    <col min="5" max="5" width="6.85546875" style="19" bestFit="1" customWidth="1"/>
    <col min="6" max="6" width="17.28515625" style="12" customWidth="1"/>
    <col min="7" max="7" width="19.42578125" style="12" customWidth="1"/>
    <col min="8" max="8" width="24.42578125" style="12" customWidth="1"/>
    <col min="9" max="9" width="18.5703125" style="12" customWidth="1"/>
    <col min="10" max="10" width="21.42578125" style="12" customWidth="1"/>
    <col min="11" max="11" width="23" style="12" customWidth="1"/>
    <col min="12" max="12" width="19.85546875" style="12" customWidth="1"/>
    <col min="13" max="16384" width="11.42578125" style="3"/>
  </cols>
  <sheetData>
    <row r="1" spans="2:12" ht="6.75" customHeight="1" x14ac:dyDescent="0.25"/>
    <row r="2" spans="2:12" ht="30" x14ac:dyDescent="0.25">
      <c r="B2" s="110" t="s">
        <v>79</v>
      </c>
      <c r="C2" s="111"/>
      <c r="E2" s="68" t="s">
        <v>24</v>
      </c>
      <c r="F2" s="68" t="s">
        <v>11</v>
      </c>
      <c r="G2" s="68" t="s">
        <v>27</v>
      </c>
      <c r="H2" s="68" t="s">
        <v>28</v>
      </c>
      <c r="I2" s="68" t="s">
        <v>25</v>
      </c>
      <c r="J2" s="68" t="s">
        <v>26</v>
      </c>
      <c r="K2" s="68" t="s">
        <v>29</v>
      </c>
      <c r="L2" s="62" t="s">
        <v>30</v>
      </c>
    </row>
    <row r="3" spans="2:12" x14ac:dyDescent="0.25">
      <c r="B3" s="57" t="s">
        <v>20</v>
      </c>
      <c r="C3" s="58">
        <f>PRET_INTERET</f>
        <v>2.5000000000000001E-2</v>
      </c>
      <c r="E3" s="63">
        <v>0</v>
      </c>
      <c r="F3" s="65"/>
      <c r="G3" s="65"/>
      <c r="H3" s="65"/>
      <c r="I3" s="65"/>
      <c r="J3" s="65"/>
      <c r="K3" s="66">
        <f>PRIX+SCHL-MISE_FONDS</f>
        <v>309300</v>
      </c>
      <c r="L3" s="66">
        <f>K3</f>
        <v>309300</v>
      </c>
    </row>
    <row r="4" spans="2:12" x14ac:dyDescent="0.25">
      <c r="B4" s="47" t="s">
        <v>21</v>
      </c>
      <c r="C4" s="54">
        <f>C3/2</f>
        <v>1.2500000000000001E-2</v>
      </c>
      <c r="E4" s="63">
        <v>1</v>
      </c>
      <c r="F4" s="33">
        <f t="shared" ref="F4:F67" si="0">VERSEMENT_MENSUEL</f>
        <v>1385.5595478245673</v>
      </c>
      <c r="G4" s="33">
        <f>K3*INTERET_MOIS</f>
        <v>641.04429239370506</v>
      </c>
      <c r="H4" s="33">
        <f>G4</f>
        <v>641.04429239370506</v>
      </c>
      <c r="I4" s="33">
        <f>F4-G4</f>
        <v>744.51525543086223</v>
      </c>
      <c r="J4" s="33">
        <f>I4</f>
        <v>744.51525543086223</v>
      </c>
      <c r="K4" s="33">
        <f>K3-I4</f>
        <v>308555.48474456911</v>
      </c>
      <c r="L4" s="67"/>
    </row>
    <row r="5" spans="2:12" x14ac:dyDescent="0.25">
      <c r="B5" s="53" t="s">
        <v>22</v>
      </c>
      <c r="C5" s="55">
        <f>(((1+C4)^2))-1</f>
        <v>2.5156249999999991E-2</v>
      </c>
      <c r="E5" s="63">
        <v>2</v>
      </c>
      <c r="F5" s="33">
        <f t="shared" si="0"/>
        <v>1385.5595478245673</v>
      </c>
      <c r="G5" s="33">
        <f t="shared" ref="G5:G67" si="1">K4*INTERET_MOIS</f>
        <v>639.50123628282893</v>
      </c>
      <c r="H5" s="33">
        <f>H4+G5</f>
        <v>1280.5455286765341</v>
      </c>
      <c r="I5" s="33">
        <f t="shared" ref="I5:I15" si="2">F5-G5</f>
        <v>746.05831154173836</v>
      </c>
      <c r="J5" s="33">
        <f>J4+I5</f>
        <v>1490.5735669726005</v>
      </c>
      <c r="K5" s="33">
        <f t="shared" ref="K5:K15" si="3">K4-I5</f>
        <v>307809.42643302737</v>
      </c>
      <c r="L5" s="67"/>
    </row>
    <row r="6" spans="2:12" x14ac:dyDescent="0.25">
      <c r="B6" s="46" t="s">
        <v>23</v>
      </c>
      <c r="C6" s="56">
        <f>((1+C5)^(1/12))-1</f>
        <v>2.0725647992037022E-3</v>
      </c>
      <c r="E6" s="63">
        <v>3</v>
      </c>
      <c r="F6" s="33">
        <f t="shared" si="0"/>
        <v>1385.5595478245673</v>
      </c>
      <c r="G6" s="33">
        <f t="shared" si="1"/>
        <v>637.95498208817412</v>
      </c>
      <c r="H6" s="33">
        <f t="shared" ref="H6:H15" si="4">H5+G6</f>
        <v>1918.5005107647082</v>
      </c>
      <c r="I6" s="33">
        <f t="shared" si="2"/>
        <v>747.60456573639317</v>
      </c>
      <c r="J6" s="33">
        <f t="shared" ref="J6:J15" si="5">J5+I6</f>
        <v>2238.1781327089939</v>
      </c>
      <c r="K6" s="33">
        <f t="shared" si="3"/>
        <v>307061.821867291</v>
      </c>
      <c r="L6" s="67"/>
    </row>
    <row r="7" spans="2:12" x14ac:dyDescent="0.25">
      <c r="E7" s="63">
        <v>4</v>
      </c>
      <c r="F7" s="33">
        <f t="shared" si="0"/>
        <v>1385.5595478245673</v>
      </c>
      <c r="G7" s="33">
        <f t="shared" si="1"/>
        <v>636.40552318150492</v>
      </c>
      <c r="H7" s="33">
        <f t="shared" si="4"/>
        <v>2554.906033946213</v>
      </c>
      <c r="I7" s="33">
        <f t="shared" si="2"/>
        <v>749.15402464306237</v>
      </c>
      <c r="J7" s="33">
        <f t="shared" si="5"/>
        <v>2987.3321573520561</v>
      </c>
      <c r="K7" s="33">
        <f t="shared" si="3"/>
        <v>306312.66784264793</v>
      </c>
      <c r="L7" s="67"/>
    </row>
    <row r="8" spans="2:12" x14ac:dyDescent="0.25">
      <c r="B8" s="110" t="s">
        <v>31</v>
      </c>
      <c r="C8" s="111"/>
      <c r="E8" s="63">
        <v>5</v>
      </c>
      <c r="F8" s="33">
        <f t="shared" si="0"/>
        <v>1385.5595478245673</v>
      </c>
      <c r="G8" s="33">
        <f t="shared" si="1"/>
        <v>634.85285292084791</v>
      </c>
      <c r="H8" s="33">
        <f t="shared" si="4"/>
        <v>3189.7588868670609</v>
      </c>
      <c r="I8" s="33">
        <f t="shared" si="2"/>
        <v>750.70669490371938</v>
      </c>
      <c r="J8" s="33">
        <f t="shared" si="5"/>
        <v>3738.0388522557755</v>
      </c>
      <c r="K8" s="33">
        <f t="shared" si="3"/>
        <v>305561.96114774421</v>
      </c>
      <c r="L8" s="67"/>
    </row>
    <row r="9" spans="2:12" x14ac:dyDescent="0.25">
      <c r="B9" s="57" t="s">
        <v>13</v>
      </c>
      <c r="C9" s="61">
        <f>PRIX</f>
        <v>350000</v>
      </c>
      <c r="E9" s="63">
        <v>6</v>
      </c>
      <c r="F9" s="33">
        <f t="shared" si="0"/>
        <v>1385.5595478245673</v>
      </c>
      <c r="G9" s="33">
        <f t="shared" si="1"/>
        <v>633.29696465046391</v>
      </c>
      <c r="H9" s="33">
        <f t="shared" si="4"/>
        <v>3823.0558515175248</v>
      </c>
      <c r="I9" s="33">
        <f t="shared" si="2"/>
        <v>752.26258317410338</v>
      </c>
      <c r="J9" s="33">
        <f t="shared" si="5"/>
        <v>4490.3014354298793</v>
      </c>
      <c r="K9" s="33">
        <f t="shared" si="3"/>
        <v>304809.69856457011</v>
      </c>
      <c r="L9" s="67"/>
    </row>
    <row r="10" spans="2:12" x14ac:dyDescent="0.25">
      <c r="B10" s="53" t="s">
        <v>14</v>
      </c>
      <c r="C10" s="59">
        <f>MISE_FONDS</f>
        <v>50000</v>
      </c>
      <c r="E10" s="63">
        <v>7</v>
      </c>
      <c r="F10" s="33">
        <f t="shared" si="0"/>
        <v>1385.5595478245673</v>
      </c>
      <c r="G10" s="33">
        <f t="shared" si="1"/>
        <v>631.73785170081919</v>
      </c>
      <c r="H10" s="33">
        <f t="shared" si="4"/>
        <v>4454.7937032183436</v>
      </c>
      <c r="I10" s="33">
        <f t="shared" si="2"/>
        <v>753.8216961237481</v>
      </c>
      <c r="J10" s="33">
        <f t="shared" si="5"/>
        <v>5244.1231315536279</v>
      </c>
      <c r="K10" s="33">
        <f t="shared" si="3"/>
        <v>304055.87686844636</v>
      </c>
      <c r="L10" s="67"/>
    </row>
    <row r="11" spans="2:12" x14ac:dyDescent="0.25">
      <c r="B11" s="53" t="s">
        <v>19</v>
      </c>
      <c r="C11" s="59">
        <f>SCHL</f>
        <v>9300</v>
      </c>
      <c r="E11" s="63">
        <v>8</v>
      </c>
      <c r="F11" s="33">
        <f t="shared" si="0"/>
        <v>1385.5595478245673</v>
      </c>
      <c r="G11" s="33">
        <f t="shared" si="1"/>
        <v>630.17550738855709</v>
      </c>
      <c r="H11" s="33">
        <f t="shared" si="4"/>
        <v>5084.9692106069006</v>
      </c>
      <c r="I11" s="33">
        <f t="shared" si="2"/>
        <v>755.3840404360102</v>
      </c>
      <c r="J11" s="33">
        <f t="shared" si="5"/>
        <v>5999.5071719896378</v>
      </c>
      <c r="K11" s="33">
        <f t="shared" si="3"/>
        <v>303300.49282801035</v>
      </c>
      <c r="L11" s="67"/>
    </row>
    <row r="12" spans="2:12" x14ac:dyDescent="0.25">
      <c r="B12" s="53" t="s">
        <v>36</v>
      </c>
      <c r="C12" s="59">
        <f>C9-C10+C11</f>
        <v>309300</v>
      </c>
      <c r="E12" s="63">
        <v>9</v>
      </c>
      <c r="F12" s="33">
        <f t="shared" si="0"/>
        <v>1385.5595478245673</v>
      </c>
      <c r="G12" s="33">
        <f t="shared" si="1"/>
        <v>628.60992501646922</v>
      </c>
      <c r="H12" s="33">
        <f t="shared" si="4"/>
        <v>5713.5791356233694</v>
      </c>
      <c r="I12" s="33">
        <f t="shared" si="2"/>
        <v>756.94962280809807</v>
      </c>
      <c r="J12" s="33">
        <f t="shared" si="5"/>
        <v>6756.4567947977357</v>
      </c>
      <c r="K12" s="33">
        <f t="shared" si="3"/>
        <v>302543.54320520227</v>
      </c>
      <c r="L12" s="67"/>
    </row>
    <row r="13" spans="2:12" x14ac:dyDescent="0.25">
      <c r="B13" s="53" t="s">
        <v>33</v>
      </c>
      <c r="C13" s="59">
        <f>ABS(CUMIPMT(INTERET_MOIS, NB_MOIS, PRET_AVANT_INTERET, 1, NB_MOIS, 0))</f>
        <v>106367.86434737017</v>
      </c>
      <c r="E13" s="63">
        <v>10</v>
      </c>
      <c r="F13" s="33">
        <f t="shared" si="0"/>
        <v>1385.5595478245673</v>
      </c>
      <c r="G13" s="33">
        <f t="shared" si="1"/>
        <v>627.04109787346658</v>
      </c>
      <c r="H13" s="33">
        <f t="shared" si="4"/>
        <v>6340.6202334968357</v>
      </c>
      <c r="I13" s="33">
        <f t="shared" si="2"/>
        <v>758.51844995110071</v>
      </c>
      <c r="J13" s="33">
        <f t="shared" si="5"/>
        <v>7514.9752447488363</v>
      </c>
      <c r="K13" s="33">
        <f t="shared" si="3"/>
        <v>301785.02475525119</v>
      </c>
      <c r="L13" s="67"/>
    </row>
    <row r="14" spans="2:12" x14ac:dyDescent="0.25">
      <c r="B14" s="53" t="s">
        <v>32</v>
      </c>
      <c r="C14" s="59">
        <f>PRET_AVANT_INTERET+C13</f>
        <v>415667.86434737017</v>
      </c>
      <c r="E14" s="63">
        <v>11</v>
      </c>
      <c r="F14" s="33">
        <f t="shared" si="0"/>
        <v>1385.5595478245673</v>
      </c>
      <c r="G14" s="33">
        <f t="shared" si="1"/>
        <v>625.46901923455141</v>
      </c>
      <c r="H14" s="33">
        <f t="shared" si="4"/>
        <v>6966.0892527313872</v>
      </c>
      <c r="I14" s="33">
        <f t="shared" si="2"/>
        <v>760.09052859001588</v>
      </c>
      <c r="J14" s="33">
        <f t="shared" si="5"/>
        <v>8275.0657733388525</v>
      </c>
      <c r="K14" s="33">
        <f t="shared" si="3"/>
        <v>301024.93422666116</v>
      </c>
      <c r="L14" s="67"/>
    </row>
    <row r="15" spans="2:12" x14ac:dyDescent="0.25">
      <c r="B15" s="53" t="s">
        <v>35</v>
      </c>
      <c r="C15" s="60">
        <f>NB_ANNEES*12</f>
        <v>300</v>
      </c>
      <c r="E15" s="63">
        <v>12</v>
      </c>
      <c r="F15" s="33">
        <f t="shared" si="0"/>
        <v>1385.5595478245673</v>
      </c>
      <c r="G15" s="33">
        <f t="shared" si="1"/>
        <v>623.89368236078769</v>
      </c>
      <c r="H15" s="33">
        <f t="shared" si="4"/>
        <v>7589.9829350921746</v>
      </c>
      <c r="I15" s="33">
        <f t="shared" si="2"/>
        <v>761.6658654637796</v>
      </c>
      <c r="J15" s="33">
        <f t="shared" si="5"/>
        <v>9036.731638802632</v>
      </c>
      <c r="K15" s="33">
        <f t="shared" si="3"/>
        <v>300263.26836119738</v>
      </c>
      <c r="L15" s="33">
        <f>K15</f>
        <v>300263.26836119738</v>
      </c>
    </row>
    <row r="16" spans="2:12" x14ac:dyDescent="0.25">
      <c r="B16" s="46" t="s">
        <v>34</v>
      </c>
      <c r="C16" s="21">
        <f>C14/C15</f>
        <v>1385.5595478245673</v>
      </c>
      <c r="E16" s="63">
        <v>13</v>
      </c>
      <c r="F16" s="33">
        <f t="shared" si="0"/>
        <v>1385.5595478245673</v>
      </c>
      <c r="G16" s="33">
        <f t="shared" si="1"/>
        <v>622.31508049927243</v>
      </c>
      <c r="H16" s="33">
        <f t="shared" ref="H16:H27" si="6">H15+G16</f>
        <v>8212.2980155914465</v>
      </c>
      <c r="I16" s="33">
        <f t="shared" ref="I16:I27" si="7">F16-G16</f>
        <v>763.24446732529486</v>
      </c>
      <c r="J16" s="33">
        <f t="shared" ref="J16:J27" si="8">J15+I16</f>
        <v>9799.9761061279278</v>
      </c>
      <c r="K16" s="33">
        <f t="shared" ref="K16:K27" si="9">K15-I16</f>
        <v>299500.0238938721</v>
      </c>
      <c r="L16" s="67"/>
    </row>
    <row r="17" spans="2:12" x14ac:dyDescent="0.25">
      <c r="C17" s="11"/>
      <c r="E17" s="63">
        <v>14</v>
      </c>
      <c r="F17" s="33">
        <f t="shared" si="0"/>
        <v>1385.5595478245673</v>
      </c>
      <c r="G17" s="33">
        <f t="shared" si="1"/>
        <v>620.73320688310707</v>
      </c>
      <c r="H17" s="33">
        <f t="shared" si="6"/>
        <v>8833.0312224745539</v>
      </c>
      <c r="I17" s="33">
        <f t="shared" si="7"/>
        <v>764.82634094146022</v>
      </c>
      <c r="J17" s="33">
        <f t="shared" si="8"/>
        <v>10564.802447069387</v>
      </c>
      <c r="K17" s="33">
        <f t="shared" si="9"/>
        <v>298735.19755293062</v>
      </c>
      <c r="L17" s="67"/>
    </row>
    <row r="18" spans="2:12" x14ac:dyDescent="0.25">
      <c r="B18" s="110" t="s">
        <v>48</v>
      </c>
      <c r="C18" s="111"/>
      <c r="E18" s="63">
        <v>15</v>
      </c>
      <c r="F18" s="33">
        <f t="shared" si="0"/>
        <v>1385.5595478245673</v>
      </c>
      <c r="G18" s="33">
        <f t="shared" si="1"/>
        <v>619.14805473136801</v>
      </c>
      <c r="H18" s="33">
        <f t="shared" si="6"/>
        <v>9452.1792772059216</v>
      </c>
      <c r="I18" s="33">
        <f t="shared" si="7"/>
        <v>766.41149309319928</v>
      </c>
      <c r="J18" s="33">
        <f t="shared" si="8"/>
        <v>11331.213940162586</v>
      </c>
      <c r="K18" s="33">
        <f t="shared" si="9"/>
        <v>297968.78605983744</v>
      </c>
      <c r="L18" s="67"/>
    </row>
    <row r="19" spans="2:12" x14ac:dyDescent="0.25">
      <c r="B19" s="57" t="s">
        <v>13</v>
      </c>
      <c r="C19" s="61">
        <f>PRIX</f>
        <v>350000</v>
      </c>
      <c r="E19" s="63">
        <v>16</v>
      </c>
      <c r="F19" s="33">
        <f t="shared" si="0"/>
        <v>1385.5595478245673</v>
      </c>
      <c r="G19" s="33">
        <f t="shared" si="1"/>
        <v>617.55961724907786</v>
      </c>
      <c r="H19" s="33">
        <f t="shared" si="6"/>
        <v>10069.738894455</v>
      </c>
      <c r="I19" s="33">
        <f t="shared" si="7"/>
        <v>767.99993057548943</v>
      </c>
      <c r="J19" s="33">
        <f t="shared" si="8"/>
        <v>12099.213870738076</v>
      </c>
      <c r="K19" s="33">
        <f t="shared" si="9"/>
        <v>297200.78612926195</v>
      </c>
      <c r="L19" s="67"/>
    </row>
    <row r="20" spans="2:12" x14ac:dyDescent="0.25">
      <c r="B20" s="53" t="s">
        <v>14</v>
      </c>
      <c r="C20" s="59">
        <f>MISE_FONDS</f>
        <v>50000</v>
      </c>
      <c r="E20" s="63">
        <v>17</v>
      </c>
      <c r="F20" s="33">
        <f t="shared" si="0"/>
        <v>1385.5595478245673</v>
      </c>
      <c r="G20" s="33">
        <f t="shared" si="1"/>
        <v>615.9678876271762</v>
      </c>
      <c r="H20" s="33">
        <f t="shared" si="6"/>
        <v>10685.706782082176</v>
      </c>
      <c r="I20" s="33">
        <f t="shared" si="7"/>
        <v>769.59166019739109</v>
      </c>
      <c r="J20" s="33">
        <f t="shared" si="8"/>
        <v>12868.805530935468</v>
      </c>
      <c r="K20" s="33">
        <f t="shared" si="9"/>
        <v>296431.19446906453</v>
      </c>
      <c r="L20" s="67"/>
    </row>
    <row r="21" spans="2:12" x14ac:dyDescent="0.25">
      <c r="B21" s="53" t="s">
        <v>47</v>
      </c>
      <c r="C21" s="59">
        <f>C19-C20</f>
        <v>300000</v>
      </c>
      <c r="E21" s="63">
        <v>18</v>
      </c>
      <c r="F21" s="33">
        <f t="shared" si="0"/>
        <v>1385.5595478245673</v>
      </c>
      <c r="G21" s="33">
        <f t="shared" si="1"/>
        <v>614.37285904249029</v>
      </c>
      <c r="H21" s="33">
        <f t="shared" si="6"/>
        <v>11300.079641124667</v>
      </c>
      <c r="I21" s="33">
        <f t="shared" si="7"/>
        <v>771.186688782077</v>
      </c>
      <c r="J21" s="33">
        <f t="shared" si="8"/>
        <v>13639.992219717544</v>
      </c>
      <c r="K21" s="33">
        <f t="shared" si="9"/>
        <v>295660.00778028247</v>
      </c>
      <c r="L21" s="67"/>
    </row>
    <row r="22" spans="2:12" x14ac:dyDescent="0.25">
      <c r="B22" s="53" t="s">
        <v>55</v>
      </c>
      <c r="C22" s="82" t="str">
        <f>IF(C20/C19&gt;=0.2, "NON", "OUI")</f>
        <v>OUI</v>
      </c>
      <c r="E22" s="63">
        <v>19</v>
      </c>
      <c r="F22" s="33">
        <f t="shared" si="0"/>
        <v>1385.5595478245673</v>
      </c>
      <c r="G22" s="33">
        <f t="shared" si="1"/>
        <v>612.77452465770614</v>
      </c>
      <c r="H22" s="33">
        <f t="shared" si="6"/>
        <v>11912.854165782373</v>
      </c>
      <c r="I22" s="33">
        <f t="shared" si="7"/>
        <v>772.78502316686115</v>
      </c>
      <c r="J22" s="33">
        <f t="shared" si="8"/>
        <v>14412.777242884405</v>
      </c>
      <c r="K22" s="33">
        <f t="shared" si="9"/>
        <v>294887.22275711561</v>
      </c>
      <c r="L22" s="67"/>
    </row>
    <row r="23" spans="2:12" x14ac:dyDescent="0.25">
      <c r="B23" s="53" t="s">
        <v>45</v>
      </c>
      <c r="C23" s="80">
        <f>C21/C19</f>
        <v>0.8571428571428571</v>
      </c>
      <c r="E23" s="63">
        <v>20</v>
      </c>
      <c r="F23" s="33">
        <f t="shared" si="0"/>
        <v>1385.5595478245673</v>
      </c>
      <c r="G23" s="33">
        <f t="shared" si="1"/>
        <v>611.17287762133867</v>
      </c>
      <c r="H23" s="33">
        <f t="shared" si="6"/>
        <v>12524.027043403712</v>
      </c>
      <c r="I23" s="33">
        <f t="shared" si="7"/>
        <v>774.38667020322862</v>
      </c>
      <c r="J23" s="33">
        <f t="shared" si="8"/>
        <v>15187.163913087634</v>
      </c>
      <c r="K23" s="33">
        <f t="shared" si="9"/>
        <v>294112.83608691237</v>
      </c>
      <c r="L23" s="67"/>
    </row>
    <row r="24" spans="2:12" x14ac:dyDescent="0.25">
      <c r="B24" s="53" t="s">
        <v>49</v>
      </c>
      <c r="C24" s="54">
        <v>6.0000000000000001E-3</v>
      </c>
      <c r="E24" s="63">
        <v>21</v>
      </c>
      <c r="F24" s="33">
        <f t="shared" si="0"/>
        <v>1385.5595478245673</v>
      </c>
      <c r="G24" s="33">
        <f t="shared" si="1"/>
        <v>609.56791106770288</v>
      </c>
      <c r="H24" s="33">
        <f t="shared" si="6"/>
        <v>13133.594954471415</v>
      </c>
      <c r="I24" s="33">
        <f t="shared" si="7"/>
        <v>775.99163675686441</v>
      </c>
      <c r="J24" s="33">
        <f t="shared" si="8"/>
        <v>15963.155549844498</v>
      </c>
      <c r="K24" s="33">
        <f t="shared" si="9"/>
        <v>293336.84445015551</v>
      </c>
      <c r="L24" s="67"/>
    </row>
    <row r="25" spans="2:12" x14ac:dyDescent="0.25">
      <c r="B25" s="53" t="s">
        <v>50</v>
      </c>
      <c r="C25" s="54">
        <v>1.7000000000000001E-2</v>
      </c>
      <c r="E25" s="63">
        <v>22</v>
      </c>
      <c r="F25" s="33">
        <f t="shared" si="0"/>
        <v>1385.5595478245673</v>
      </c>
      <c r="G25" s="33">
        <f t="shared" si="1"/>
        <v>607.95961811688414</v>
      </c>
      <c r="H25" s="33">
        <f t="shared" si="6"/>
        <v>13741.554572588298</v>
      </c>
      <c r="I25" s="33">
        <f t="shared" si="7"/>
        <v>777.59992970768315</v>
      </c>
      <c r="J25" s="33">
        <f t="shared" si="8"/>
        <v>16740.755479552179</v>
      </c>
      <c r="K25" s="33">
        <f t="shared" si="9"/>
        <v>292559.2445204478</v>
      </c>
      <c r="L25" s="67"/>
    </row>
    <row r="26" spans="2:12" x14ac:dyDescent="0.25">
      <c r="B26" s="53" t="s">
        <v>51</v>
      </c>
      <c r="C26" s="54">
        <v>2.4E-2</v>
      </c>
      <c r="E26" s="63">
        <v>23</v>
      </c>
      <c r="F26" s="33">
        <f t="shared" si="0"/>
        <v>1385.5595478245673</v>
      </c>
      <c r="G26" s="33">
        <f t="shared" si="1"/>
        <v>606.34799187470867</v>
      </c>
      <c r="H26" s="33">
        <f t="shared" si="6"/>
        <v>14347.902564463007</v>
      </c>
      <c r="I26" s="33">
        <f t="shared" si="7"/>
        <v>779.21155594985862</v>
      </c>
      <c r="J26" s="33">
        <f t="shared" si="8"/>
        <v>17519.967035502039</v>
      </c>
      <c r="K26" s="33">
        <f t="shared" si="9"/>
        <v>291780.03296449792</v>
      </c>
      <c r="L26" s="67"/>
    </row>
    <row r="27" spans="2:12" x14ac:dyDescent="0.25">
      <c r="B27" s="53" t="s">
        <v>52</v>
      </c>
      <c r="C27" s="54">
        <v>2.8000000000000001E-2</v>
      </c>
      <c r="E27" s="63">
        <v>24</v>
      </c>
      <c r="F27" s="33">
        <f t="shared" si="0"/>
        <v>1385.5595478245673</v>
      </c>
      <c r="G27" s="33">
        <f t="shared" si="1"/>
        <v>604.73302543271427</v>
      </c>
      <c r="H27" s="33">
        <f t="shared" si="6"/>
        <v>14952.635589895721</v>
      </c>
      <c r="I27" s="33">
        <f t="shared" si="7"/>
        <v>780.82652239185302</v>
      </c>
      <c r="J27" s="33">
        <f t="shared" si="8"/>
        <v>18300.793557893892</v>
      </c>
      <c r="K27" s="33">
        <f t="shared" si="9"/>
        <v>290999.20644210605</v>
      </c>
      <c r="L27" s="33">
        <f>K27</f>
        <v>290999.20644210605</v>
      </c>
    </row>
    <row r="28" spans="2:12" x14ac:dyDescent="0.25">
      <c r="B28" s="53" t="s">
        <v>53</v>
      </c>
      <c r="C28" s="54">
        <v>3.1E-2</v>
      </c>
      <c r="E28" s="63">
        <v>25</v>
      </c>
      <c r="F28" s="33">
        <f t="shared" si="0"/>
        <v>1385.5595478245673</v>
      </c>
      <c r="G28" s="33">
        <f t="shared" si="1"/>
        <v>603.11471186812025</v>
      </c>
      <c r="H28" s="33">
        <f t="shared" ref="H28:H39" si="10">H27+G28</f>
        <v>15555.750301763841</v>
      </c>
      <c r="I28" s="33">
        <f t="shared" ref="I28:I39" si="11">F28-G28</f>
        <v>782.44483595644704</v>
      </c>
      <c r="J28" s="33">
        <f t="shared" ref="J28:J39" si="12">J27+I28</f>
        <v>19083.238393850341</v>
      </c>
      <c r="K28" s="33">
        <f t="shared" ref="K28:K39" si="13">K27-I28</f>
        <v>290216.76160614961</v>
      </c>
      <c r="L28" s="67"/>
    </row>
    <row r="29" spans="2:12" x14ac:dyDescent="0.25">
      <c r="B29" s="53" t="s">
        <v>54</v>
      </c>
      <c r="C29" s="54">
        <v>0.04</v>
      </c>
      <c r="E29" s="63">
        <v>26</v>
      </c>
      <c r="F29" s="33">
        <f t="shared" si="0"/>
        <v>1385.5595478245673</v>
      </c>
      <c r="G29" s="33">
        <f t="shared" si="1"/>
        <v>601.49304424379818</v>
      </c>
      <c r="H29" s="33">
        <f t="shared" si="10"/>
        <v>16157.243346007639</v>
      </c>
      <c r="I29" s="33">
        <f t="shared" si="11"/>
        <v>784.06650358076911</v>
      </c>
      <c r="J29" s="33">
        <f t="shared" si="12"/>
        <v>19867.30489743111</v>
      </c>
      <c r="K29" s="33">
        <f t="shared" si="13"/>
        <v>289432.69510256883</v>
      </c>
      <c r="L29" s="67"/>
    </row>
    <row r="30" spans="2:12" x14ac:dyDescent="0.25">
      <c r="B30" s="46" t="s">
        <v>46</v>
      </c>
      <c r="C30" s="21">
        <f>IF(C22="OUI", IF(RATIO_PRIX_PRET&lt;=0.65, C21*C24,IF(RATIO_PRIX_PRET&lt;=0.75,C21*C25, IF(RATIO_PRIX_PRET&lt;=0.8, C21*C26, IF(RATIO_PRIX_PRET&lt;=0.85, C21*C27, IF(RATIO_PRIX_PRET&lt;=0.9, C21*C28, IF(RATIO_PRIX_PRET&lt;=0.95, C21*C29,0)))))), 0)</f>
        <v>9300</v>
      </c>
      <c r="E30" s="63">
        <v>27</v>
      </c>
      <c r="F30" s="33">
        <f t="shared" si="0"/>
        <v>1385.5595478245673</v>
      </c>
      <c r="G30" s="33">
        <f t="shared" si="1"/>
        <v>599.86801560824188</v>
      </c>
      <c r="H30" s="33">
        <f t="shared" si="10"/>
        <v>16757.11136161588</v>
      </c>
      <c r="I30" s="33">
        <f t="shared" si="11"/>
        <v>785.69153221632541</v>
      </c>
      <c r="J30" s="33">
        <f t="shared" si="12"/>
        <v>20652.996429647435</v>
      </c>
      <c r="K30" s="33">
        <f t="shared" si="13"/>
        <v>288647.00357035251</v>
      </c>
      <c r="L30" s="67"/>
    </row>
    <row r="31" spans="2:12" x14ac:dyDescent="0.25">
      <c r="B31" s="13"/>
      <c r="C31" s="6"/>
      <c r="E31" s="63">
        <v>28</v>
      </c>
      <c r="F31" s="33">
        <f t="shared" si="0"/>
        <v>1385.5595478245673</v>
      </c>
      <c r="G31" s="33">
        <f t="shared" si="1"/>
        <v>598.23961899553797</v>
      </c>
      <c r="H31" s="33">
        <f t="shared" si="10"/>
        <v>17355.350980611416</v>
      </c>
      <c r="I31" s="33">
        <f t="shared" si="11"/>
        <v>787.31992882902932</v>
      </c>
      <c r="J31" s="33">
        <f t="shared" si="12"/>
        <v>21440.316358476466</v>
      </c>
      <c r="K31" s="33">
        <f t="shared" si="13"/>
        <v>287859.68364152347</v>
      </c>
      <c r="L31" s="67"/>
    </row>
    <row r="32" spans="2:12" x14ac:dyDescent="0.25">
      <c r="B32" s="14"/>
      <c r="C32" s="6"/>
      <c r="E32" s="63">
        <v>29</v>
      </c>
      <c r="F32" s="33">
        <f t="shared" si="0"/>
        <v>1385.5595478245673</v>
      </c>
      <c r="G32" s="33">
        <f t="shared" si="1"/>
        <v>596.60784742533531</v>
      </c>
      <c r="H32" s="33">
        <f t="shared" si="10"/>
        <v>17951.95882803675</v>
      </c>
      <c r="I32" s="33">
        <f t="shared" si="11"/>
        <v>788.95170039923198</v>
      </c>
      <c r="J32" s="33">
        <f t="shared" si="12"/>
        <v>22229.268058875699</v>
      </c>
      <c r="K32" s="33">
        <f t="shared" si="13"/>
        <v>287070.73194112425</v>
      </c>
      <c r="L32" s="67"/>
    </row>
    <row r="33" spans="2:12" x14ac:dyDescent="0.25">
      <c r="B33" s="6"/>
      <c r="C33" s="81"/>
      <c r="E33" s="63">
        <v>30</v>
      </c>
      <c r="F33" s="33">
        <f t="shared" si="0"/>
        <v>1385.5595478245673</v>
      </c>
      <c r="G33" s="33">
        <f t="shared" si="1"/>
        <v>594.97269390281599</v>
      </c>
      <c r="H33" s="33">
        <f t="shared" si="10"/>
        <v>18546.931521939565</v>
      </c>
      <c r="I33" s="33">
        <f t="shared" si="11"/>
        <v>790.5868539217513</v>
      </c>
      <c r="J33" s="33">
        <f t="shared" si="12"/>
        <v>23019.854912797451</v>
      </c>
      <c r="K33" s="33">
        <f t="shared" si="13"/>
        <v>286280.14508720249</v>
      </c>
      <c r="L33" s="67"/>
    </row>
    <row r="34" spans="2:12" x14ac:dyDescent="0.25">
      <c r="B34" s="6"/>
      <c r="C34" s="6"/>
      <c r="E34" s="63">
        <v>31</v>
      </c>
      <c r="F34" s="33">
        <f t="shared" si="0"/>
        <v>1385.5595478245673</v>
      </c>
      <c r="G34" s="33">
        <f t="shared" si="1"/>
        <v>593.33415141866453</v>
      </c>
      <c r="H34" s="33">
        <f t="shared" si="10"/>
        <v>19140.26567335823</v>
      </c>
      <c r="I34" s="33">
        <f t="shared" si="11"/>
        <v>792.22539640590276</v>
      </c>
      <c r="J34" s="33">
        <f t="shared" si="12"/>
        <v>23812.080309203353</v>
      </c>
      <c r="K34" s="33">
        <f t="shared" si="13"/>
        <v>285487.91969079658</v>
      </c>
      <c r="L34" s="67"/>
    </row>
    <row r="35" spans="2:12" x14ac:dyDescent="0.25">
      <c r="B35" s="6"/>
      <c r="C35" s="6"/>
      <c r="E35" s="63">
        <v>32</v>
      </c>
      <c r="F35" s="33">
        <f t="shared" si="0"/>
        <v>1385.5595478245673</v>
      </c>
      <c r="G35" s="33">
        <f t="shared" si="1"/>
        <v>591.69221294903843</v>
      </c>
      <c r="H35" s="33">
        <f t="shared" si="10"/>
        <v>19731.957886307267</v>
      </c>
      <c r="I35" s="33">
        <f t="shared" si="11"/>
        <v>793.86733487552885</v>
      </c>
      <c r="J35" s="33">
        <f t="shared" si="12"/>
        <v>24605.947644078882</v>
      </c>
      <c r="K35" s="33">
        <f t="shared" si="13"/>
        <v>284694.05235592107</v>
      </c>
      <c r="L35" s="67"/>
    </row>
    <row r="36" spans="2:12" x14ac:dyDescent="0.25">
      <c r="E36" s="63">
        <v>33</v>
      </c>
      <c r="F36" s="33">
        <f t="shared" si="0"/>
        <v>1385.5595478245673</v>
      </c>
      <c r="G36" s="33">
        <f t="shared" si="1"/>
        <v>590.04687145553783</v>
      </c>
      <c r="H36" s="33">
        <f t="shared" si="10"/>
        <v>20322.004757762807</v>
      </c>
      <c r="I36" s="33">
        <f t="shared" si="11"/>
        <v>795.51267636902946</v>
      </c>
      <c r="J36" s="33">
        <f t="shared" si="12"/>
        <v>25401.46032044791</v>
      </c>
      <c r="K36" s="33">
        <f t="shared" si="13"/>
        <v>283898.53967955202</v>
      </c>
      <c r="L36" s="67"/>
    </row>
    <row r="37" spans="2:12" x14ac:dyDescent="0.25">
      <c r="E37" s="63">
        <v>34</v>
      </c>
      <c r="F37" s="33">
        <f t="shared" si="0"/>
        <v>1385.5595478245673</v>
      </c>
      <c r="G37" s="33">
        <f t="shared" si="1"/>
        <v>588.39811988517499</v>
      </c>
      <c r="H37" s="33">
        <f t="shared" si="10"/>
        <v>20910.402877647983</v>
      </c>
      <c r="I37" s="33">
        <f t="shared" si="11"/>
        <v>797.1614279393923</v>
      </c>
      <c r="J37" s="33">
        <f t="shared" si="12"/>
        <v>26198.621748387301</v>
      </c>
      <c r="K37" s="33">
        <f t="shared" si="13"/>
        <v>283101.37825161265</v>
      </c>
      <c r="L37" s="67"/>
    </row>
    <row r="38" spans="2:12" x14ac:dyDescent="0.25">
      <c r="E38" s="63">
        <v>35</v>
      </c>
      <c r="F38" s="33">
        <f t="shared" si="0"/>
        <v>1385.5595478245673</v>
      </c>
      <c r="G38" s="33">
        <f t="shared" si="1"/>
        <v>586.74595117034494</v>
      </c>
      <c r="H38" s="33">
        <f t="shared" si="10"/>
        <v>21497.148828818328</v>
      </c>
      <c r="I38" s="33">
        <f t="shared" si="11"/>
        <v>798.81359665422235</v>
      </c>
      <c r="J38" s="33">
        <f t="shared" si="12"/>
        <v>26997.435345041522</v>
      </c>
      <c r="K38" s="33">
        <f t="shared" si="13"/>
        <v>282302.56465495843</v>
      </c>
      <c r="L38" s="67"/>
    </row>
    <row r="39" spans="2:12" x14ac:dyDescent="0.25">
      <c r="E39" s="63">
        <v>36</v>
      </c>
      <c r="F39" s="33">
        <f t="shared" si="0"/>
        <v>1385.5595478245673</v>
      </c>
      <c r="G39" s="33">
        <f t="shared" si="1"/>
        <v>585.09035822879412</v>
      </c>
      <c r="H39" s="33">
        <f t="shared" si="10"/>
        <v>22082.239187047122</v>
      </c>
      <c r="I39" s="33">
        <f t="shared" si="11"/>
        <v>800.46918959577317</v>
      </c>
      <c r="J39" s="33">
        <f t="shared" si="12"/>
        <v>27797.904534637295</v>
      </c>
      <c r="K39" s="33">
        <f t="shared" si="13"/>
        <v>281502.09546536265</v>
      </c>
      <c r="L39" s="33">
        <f>K39</f>
        <v>281502.09546536265</v>
      </c>
    </row>
    <row r="40" spans="2:12" x14ac:dyDescent="0.25">
      <c r="E40" s="63">
        <v>37</v>
      </c>
      <c r="F40" s="33">
        <f t="shared" si="0"/>
        <v>1385.5595478245673</v>
      </c>
      <c r="G40" s="33">
        <f t="shared" si="1"/>
        <v>583.43133396359076</v>
      </c>
      <c r="H40" s="33">
        <f t="shared" ref="H40:H103" si="14">H39+G40</f>
        <v>22665.670521010714</v>
      </c>
      <c r="I40" s="33">
        <f t="shared" ref="I40:I103" si="15">F40-G40</f>
        <v>802.12821386097653</v>
      </c>
      <c r="J40" s="33">
        <f t="shared" ref="J40:J103" si="16">J39+I40</f>
        <v>28600.03274849827</v>
      </c>
      <c r="K40" s="33">
        <f t="shared" ref="K40:K103" si="17">K39-I40</f>
        <v>280699.96725150169</v>
      </c>
      <c r="L40" s="67"/>
    </row>
    <row r="41" spans="2:12" x14ac:dyDescent="0.25">
      <c r="E41" s="63">
        <v>38</v>
      </c>
      <c r="F41" s="33">
        <f t="shared" si="0"/>
        <v>1385.5595478245673</v>
      </c>
      <c r="G41" s="33">
        <f t="shared" si="1"/>
        <v>581.76887126309441</v>
      </c>
      <c r="H41" s="33">
        <f t="shared" si="14"/>
        <v>23247.439392273809</v>
      </c>
      <c r="I41" s="33">
        <f t="shared" si="15"/>
        <v>803.79067656147288</v>
      </c>
      <c r="J41" s="33">
        <f t="shared" si="16"/>
        <v>29403.823425059742</v>
      </c>
      <c r="K41" s="33">
        <f t="shared" si="17"/>
        <v>279896.17657494021</v>
      </c>
      <c r="L41" s="67"/>
    </row>
    <row r="42" spans="2:12" x14ac:dyDescent="0.25">
      <c r="E42" s="63">
        <v>39</v>
      </c>
      <c r="F42" s="33">
        <f t="shared" si="0"/>
        <v>1385.5595478245673</v>
      </c>
      <c r="G42" s="33">
        <f t="shared" si="1"/>
        <v>580.10296300092489</v>
      </c>
      <c r="H42" s="33">
        <f t="shared" si="14"/>
        <v>23827.542355274734</v>
      </c>
      <c r="I42" s="33">
        <f t="shared" si="15"/>
        <v>805.4565848236424</v>
      </c>
      <c r="J42" s="33">
        <f t="shared" si="16"/>
        <v>30209.280009883383</v>
      </c>
      <c r="K42" s="33">
        <f t="shared" si="17"/>
        <v>279090.71999011654</v>
      </c>
      <c r="L42" s="67"/>
    </row>
    <row r="43" spans="2:12" x14ac:dyDescent="0.25">
      <c r="E43" s="63">
        <v>40</v>
      </c>
      <c r="F43" s="33">
        <f t="shared" si="0"/>
        <v>1385.5595478245673</v>
      </c>
      <c r="G43" s="33">
        <f t="shared" si="1"/>
        <v>578.43360203593261</v>
      </c>
      <c r="H43" s="33">
        <f t="shared" si="14"/>
        <v>24405.975957310668</v>
      </c>
      <c r="I43" s="33">
        <f t="shared" si="15"/>
        <v>807.12594578863468</v>
      </c>
      <c r="J43" s="33">
        <f t="shared" si="16"/>
        <v>31016.405955672017</v>
      </c>
      <c r="K43" s="33">
        <f t="shared" si="17"/>
        <v>278283.59404432791</v>
      </c>
      <c r="L43" s="67"/>
    </row>
    <row r="44" spans="2:12" x14ac:dyDescent="0.25">
      <c r="E44" s="63">
        <v>41</v>
      </c>
      <c r="F44" s="33">
        <f t="shared" si="0"/>
        <v>1385.5595478245673</v>
      </c>
      <c r="G44" s="33">
        <f t="shared" si="1"/>
        <v>576.7607812121671</v>
      </c>
      <c r="H44" s="33">
        <f t="shared" si="14"/>
        <v>24982.736738522835</v>
      </c>
      <c r="I44" s="33">
        <f t="shared" si="15"/>
        <v>808.79876661240019</v>
      </c>
      <c r="J44" s="33">
        <f t="shared" si="16"/>
        <v>31825.204722284416</v>
      </c>
      <c r="K44" s="33">
        <f t="shared" si="17"/>
        <v>277474.79527771549</v>
      </c>
      <c r="L44" s="67"/>
    </row>
    <row r="45" spans="2:12" x14ac:dyDescent="0.25">
      <c r="E45" s="63">
        <v>42</v>
      </c>
      <c r="F45" s="33">
        <f t="shared" si="0"/>
        <v>1385.5595478245673</v>
      </c>
      <c r="G45" s="33">
        <f t="shared" si="1"/>
        <v>575.08449335884677</v>
      </c>
      <c r="H45" s="33">
        <f t="shared" si="14"/>
        <v>25557.82123188168</v>
      </c>
      <c r="I45" s="33">
        <f t="shared" si="15"/>
        <v>810.47505446572052</v>
      </c>
      <c r="J45" s="33">
        <f t="shared" si="16"/>
        <v>32635.679776750138</v>
      </c>
      <c r="K45" s="33">
        <f t="shared" si="17"/>
        <v>276664.32022324979</v>
      </c>
      <c r="L45" s="67"/>
    </row>
    <row r="46" spans="2:12" x14ac:dyDescent="0.25">
      <c r="E46" s="63">
        <v>43</v>
      </c>
      <c r="F46" s="33">
        <f t="shared" si="0"/>
        <v>1385.5595478245673</v>
      </c>
      <c r="G46" s="33">
        <f t="shared" si="1"/>
        <v>573.40473129032841</v>
      </c>
      <c r="H46" s="33">
        <f t="shared" si="14"/>
        <v>26131.225963172008</v>
      </c>
      <c r="I46" s="33">
        <f t="shared" si="15"/>
        <v>812.15481653423888</v>
      </c>
      <c r="J46" s="33">
        <f t="shared" si="16"/>
        <v>33447.834593284373</v>
      </c>
      <c r="K46" s="33">
        <f t="shared" si="17"/>
        <v>275852.16540671553</v>
      </c>
      <c r="L46" s="67"/>
    </row>
    <row r="47" spans="2:12" x14ac:dyDescent="0.25">
      <c r="E47" s="63">
        <v>44</v>
      </c>
      <c r="F47" s="33">
        <f t="shared" si="0"/>
        <v>1385.5595478245673</v>
      </c>
      <c r="G47" s="33">
        <f t="shared" si="1"/>
        <v>571.72148780607586</v>
      </c>
      <c r="H47" s="33">
        <f t="shared" si="14"/>
        <v>26702.947450978085</v>
      </c>
      <c r="I47" s="33">
        <f t="shared" si="15"/>
        <v>813.83806001849143</v>
      </c>
      <c r="J47" s="33">
        <f t="shared" si="16"/>
        <v>34261.672653302863</v>
      </c>
      <c r="K47" s="33">
        <f t="shared" si="17"/>
        <v>275038.32734669704</v>
      </c>
      <c r="L47" s="67"/>
    </row>
    <row r="48" spans="2:12" x14ac:dyDescent="0.25">
      <c r="E48" s="63">
        <v>45</v>
      </c>
      <c r="F48" s="33">
        <f t="shared" si="0"/>
        <v>1385.5595478245673</v>
      </c>
      <c r="G48" s="33">
        <f t="shared" si="1"/>
        <v>570.03475569062925</v>
      </c>
      <c r="H48" s="33">
        <f t="shared" si="14"/>
        <v>27272.982206668716</v>
      </c>
      <c r="I48" s="33">
        <f t="shared" si="15"/>
        <v>815.52479213393804</v>
      </c>
      <c r="J48" s="33">
        <f t="shared" si="16"/>
        <v>35077.197445436803</v>
      </c>
      <c r="K48" s="33">
        <f t="shared" si="17"/>
        <v>274222.8025545631</v>
      </c>
      <c r="L48" s="67"/>
    </row>
    <row r="49" spans="5:12" x14ac:dyDescent="0.25">
      <c r="E49" s="63">
        <v>46</v>
      </c>
      <c r="F49" s="33">
        <f t="shared" si="0"/>
        <v>1385.5595478245673</v>
      </c>
      <c r="G49" s="33">
        <f t="shared" si="1"/>
        <v>568.34452771357451</v>
      </c>
      <c r="H49" s="33">
        <f t="shared" si="14"/>
        <v>27841.326734382292</v>
      </c>
      <c r="I49" s="33">
        <f t="shared" si="15"/>
        <v>817.21502011099278</v>
      </c>
      <c r="J49" s="33">
        <f t="shared" si="16"/>
        <v>35894.412465547794</v>
      </c>
      <c r="K49" s="33">
        <f t="shared" si="17"/>
        <v>273405.58753445209</v>
      </c>
      <c r="L49" s="67"/>
    </row>
    <row r="50" spans="5:12" x14ac:dyDescent="0.25">
      <c r="E50" s="63">
        <v>47</v>
      </c>
      <c r="F50" s="33">
        <f t="shared" si="0"/>
        <v>1385.5595478245673</v>
      </c>
      <c r="G50" s="33">
        <f t="shared" si="1"/>
        <v>566.65079662951189</v>
      </c>
      <c r="H50" s="33">
        <f t="shared" si="14"/>
        <v>28407.977531011802</v>
      </c>
      <c r="I50" s="33">
        <f t="shared" si="15"/>
        <v>818.9087511950554</v>
      </c>
      <c r="J50" s="33">
        <f t="shared" si="16"/>
        <v>36713.32121674285</v>
      </c>
      <c r="K50" s="33">
        <f t="shared" si="17"/>
        <v>272586.67878325703</v>
      </c>
      <c r="L50" s="67"/>
    </row>
    <row r="51" spans="5:12" x14ac:dyDescent="0.25">
      <c r="E51" s="63">
        <v>48</v>
      </c>
      <c r="F51" s="33">
        <f t="shared" si="0"/>
        <v>1385.5595478245673</v>
      </c>
      <c r="G51" s="33">
        <f t="shared" si="1"/>
        <v>564.95355517802511</v>
      </c>
      <c r="H51" s="33">
        <f t="shared" si="14"/>
        <v>28972.931086189827</v>
      </c>
      <c r="I51" s="33">
        <f t="shared" si="15"/>
        <v>820.60599264654218</v>
      </c>
      <c r="J51" s="33">
        <f t="shared" si="16"/>
        <v>37533.927209389389</v>
      </c>
      <c r="K51" s="33">
        <f t="shared" si="17"/>
        <v>271766.07279061049</v>
      </c>
      <c r="L51" s="33">
        <f>K51</f>
        <v>271766.07279061049</v>
      </c>
    </row>
    <row r="52" spans="5:12" x14ac:dyDescent="0.25">
      <c r="E52" s="63">
        <v>49</v>
      </c>
      <c r="F52" s="33">
        <f t="shared" si="0"/>
        <v>1385.5595478245673</v>
      </c>
      <c r="G52" s="33">
        <f t="shared" si="1"/>
        <v>563.25279608365031</v>
      </c>
      <c r="H52" s="33">
        <f t="shared" si="14"/>
        <v>29536.183882273475</v>
      </c>
      <c r="I52" s="33">
        <f t="shared" si="15"/>
        <v>822.30675174091698</v>
      </c>
      <c r="J52" s="33">
        <f t="shared" si="16"/>
        <v>38356.233961130303</v>
      </c>
      <c r="K52" s="33">
        <f t="shared" si="17"/>
        <v>270943.76603886957</v>
      </c>
      <c r="L52" s="67"/>
    </row>
    <row r="53" spans="5:12" x14ac:dyDescent="0.25">
      <c r="E53" s="63">
        <v>50</v>
      </c>
      <c r="F53" s="33">
        <f t="shared" si="0"/>
        <v>1385.5595478245673</v>
      </c>
      <c r="G53" s="33">
        <f t="shared" si="1"/>
        <v>561.54851205584453</v>
      </c>
      <c r="H53" s="33">
        <f t="shared" si="14"/>
        <v>30097.73239432932</v>
      </c>
      <c r="I53" s="33">
        <f t="shared" si="15"/>
        <v>824.01103576872276</v>
      </c>
      <c r="J53" s="33">
        <f t="shared" si="16"/>
        <v>39180.244996899026</v>
      </c>
      <c r="K53" s="33">
        <f t="shared" si="17"/>
        <v>270119.75500310084</v>
      </c>
      <c r="L53" s="67"/>
    </row>
    <row r="54" spans="5:12" x14ac:dyDescent="0.25">
      <c r="E54" s="63">
        <v>51</v>
      </c>
      <c r="F54" s="33">
        <f t="shared" si="0"/>
        <v>1385.5595478245673</v>
      </c>
      <c r="G54" s="33">
        <f t="shared" si="1"/>
        <v>559.84069578895492</v>
      </c>
      <c r="H54" s="33">
        <f t="shared" si="14"/>
        <v>30657.573090118276</v>
      </c>
      <c r="I54" s="33">
        <f t="shared" si="15"/>
        <v>825.71885203561237</v>
      </c>
      <c r="J54" s="33">
        <f t="shared" si="16"/>
        <v>40005.96384893464</v>
      </c>
      <c r="K54" s="33">
        <f t="shared" si="17"/>
        <v>269294.03615106526</v>
      </c>
      <c r="L54" s="67"/>
    </row>
    <row r="55" spans="5:12" x14ac:dyDescent="0.25">
      <c r="E55" s="63">
        <v>52</v>
      </c>
      <c r="F55" s="33">
        <f t="shared" si="0"/>
        <v>1385.5595478245673</v>
      </c>
      <c r="G55" s="33">
        <f t="shared" si="1"/>
        <v>558.12933996218703</v>
      </c>
      <c r="H55" s="33">
        <f t="shared" si="14"/>
        <v>31215.702430080462</v>
      </c>
      <c r="I55" s="33">
        <f t="shared" si="15"/>
        <v>827.43020786238026</v>
      </c>
      <c r="J55" s="33">
        <f t="shared" si="16"/>
        <v>40833.39405679702</v>
      </c>
      <c r="K55" s="33">
        <f t="shared" si="17"/>
        <v>268466.60594320286</v>
      </c>
      <c r="L55" s="67"/>
    </row>
    <row r="56" spans="5:12" x14ac:dyDescent="0.25">
      <c r="E56" s="63">
        <v>53</v>
      </c>
      <c r="F56" s="33">
        <f t="shared" si="0"/>
        <v>1385.5595478245673</v>
      </c>
      <c r="G56" s="33">
        <f t="shared" si="1"/>
        <v>556.41443723957366</v>
      </c>
      <c r="H56" s="33">
        <f t="shared" si="14"/>
        <v>31772.116867320037</v>
      </c>
      <c r="I56" s="33">
        <f t="shared" si="15"/>
        <v>829.14511058499363</v>
      </c>
      <c r="J56" s="33">
        <f t="shared" si="16"/>
        <v>41662.539167382012</v>
      </c>
      <c r="K56" s="33">
        <f t="shared" si="17"/>
        <v>267637.46083261789</v>
      </c>
      <c r="L56" s="67"/>
    </row>
    <row r="57" spans="5:12" x14ac:dyDescent="0.25">
      <c r="E57" s="63">
        <v>54</v>
      </c>
      <c r="F57" s="33">
        <f t="shared" si="0"/>
        <v>1385.5595478245673</v>
      </c>
      <c r="G57" s="33">
        <f t="shared" si="1"/>
        <v>554.69598026994345</v>
      </c>
      <c r="H57" s="33">
        <f t="shared" si="14"/>
        <v>32326.812847589979</v>
      </c>
      <c r="I57" s="33">
        <f t="shared" si="15"/>
        <v>830.86356755462384</v>
      </c>
      <c r="J57" s="33">
        <f t="shared" si="16"/>
        <v>42493.402734936637</v>
      </c>
      <c r="K57" s="33">
        <f t="shared" si="17"/>
        <v>266806.59726506326</v>
      </c>
      <c r="L57" s="67"/>
    </row>
    <row r="58" spans="5:12" x14ac:dyDescent="0.25">
      <c r="E58" s="63">
        <v>55</v>
      </c>
      <c r="F58" s="33">
        <f t="shared" si="0"/>
        <v>1385.5595478245673</v>
      </c>
      <c r="G58" s="33">
        <f t="shared" si="1"/>
        <v>552.97396168688886</v>
      </c>
      <c r="H58" s="33">
        <f t="shared" si="14"/>
        <v>32879.786809276869</v>
      </c>
      <c r="I58" s="33">
        <f t="shared" si="15"/>
        <v>832.58558613767843</v>
      </c>
      <c r="J58" s="33">
        <f t="shared" si="16"/>
        <v>43325.988321074314</v>
      </c>
      <c r="K58" s="33">
        <f t="shared" si="17"/>
        <v>265974.0116789256</v>
      </c>
      <c r="L58" s="67"/>
    </row>
    <row r="59" spans="5:12" x14ac:dyDescent="0.25">
      <c r="E59" s="63">
        <v>56</v>
      </c>
      <c r="F59" s="33">
        <f t="shared" si="0"/>
        <v>1385.5595478245673</v>
      </c>
      <c r="G59" s="33">
        <f t="shared" si="1"/>
        <v>551.24837410873556</v>
      </c>
      <c r="H59" s="33">
        <f t="shared" si="14"/>
        <v>33431.035183385604</v>
      </c>
      <c r="I59" s="33">
        <f t="shared" si="15"/>
        <v>834.31117371583173</v>
      </c>
      <c r="J59" s="33">
        <f t="shared" si="16"/>
        <v>44160.299494790146</v>
      </c>
      <c r="K59" s="33">
        <f t="shared" si="17"/>
        <v>265139.7005052098</v>
      </c>
      <c r="L59" s="67"/>
    </row>
    <row r="60" spans="5:12" x14ac:dyDescent="0.25">
      <c r="E60" s="63">
        <v>57</v>
      </c>
      <c r="F60" s="33">
        <f t="shared" si="0"/>
        <v>1385.5595478245673</v>
      </c>
      <c r="G60" s="33">
        <f t="shared" si="1"/>
        <v>549.51921013850983</v>
      </c>
      <c r="H60" s="33">
        <f t="shared" si="14"/>
        <v>33980.554393524115</v>
      </c>
      <c r="I60" s="33">
        <f t="shared" si="15"/>
        <v>836.04033768605746</v>
      </c>
      <c r="J60" s="33">
        <f t="shared" si="16"/>
        <v>44996.339832476202</v>
      </c>
      <c r="K60" s="33">
        <f t="shared" si="17"/>
        <v>264303.66016752372</v>
      </c>
      <c r="L60" s="67"/>
    </row>
    <row r="61" spans="5:12" x14ac:dyDescent="0.25">
      <c r="E61" s="63">
        <v>58</v>
      </c>
      <c r="F61" s="33">
        <f t="shared" si="0"/>
        <v>1385.5595478245673</v>
      </c>
      <c r="G61" s="33">
        <f t="shared" si="1"/>
        <v>547.78646236390728</v>
      </c>
      <c r="H61" s="33">
        <f t="shared" si="14"/>
        <v>34528.340855888026</v>
      </c>
      <c r="I61" s="33">
        <f t="shared" si="15"/>
        <v>837.77308546066001</v>
      </c>
      <c r="J61" s="33">
        <f t="shared" si="16"/>
        <v>45834.112917936865</v>
      </c>
      <c r="K61" s="33">
        <f t="shared" si="17"/>
        <v>263465.88708206307</v>
      </c>
      <c r="L61" s="67"/>
    </row>
    <row r="62" spans="5:12" x14ac:dyDescent="0.25">
      <c r="E62" s="63">
        <v>59</v>
      </c>
      <c r="F62" s="33">
        <f t="shared" si="0"/>
        <v>1385.5595478245673</v>
      </c>
      <c r="G62" s="33">
        <f t="shared" si="1"/>
        <v>546.05012335726133</v>
      </c>
      <c r="H62" s="33">
        <f t="shared" si="14"/>
        <v>35074.390979245291</v>
      </c>
      <c r="I62" s="33">
        <f t="shared" si="15"/>
        <v>839.50942446730596</v>
      </c>
      <c r="J62" s="33">
        <f t="shared" si="16"/>
        <v>46673.622342404175</v>
      </c>
      <c r="K62" s="33">
        <f t="shared" si="17"/>
        <v>262626.37765759579</v>
      </c>
      <c r="L62" s="67"/>
    </row>
    <row r="63" spans="5:12" x14ac:dyDescent="0.25">
      <c r="E63" s="63">
        <v>60</v>
      </c>
      <c r="F63" s="33">
        <f t="shared" si="0"/>
        <v>1385.5595478245673</v>
      </c>
      <c r="G63" s="33">
        <f t="shared" si="1"/>
        <v>544.31018567551064</v>
      </c>
      <c r="H63" s="33">
        <f t="shared" si="14"/>
        <v>35618.7011649208</v>
      </c>
      <c r="I63" s="33">
        <f t="shared" si="15"/>
        <v>841.24936214905665</v>
      </c>
      <c r="J63" s="33">
        <f t="shared" si="16"/>
        <v>47514.871704553232</v>
      </c>
      <c r="K63" s="33">
        <f t="shared" si="17"/>
        <v>261785.12829544675</v>
      </c>
      <c r="L63" s="33">
        <f t="shared" ref="L63" si="18">K63</f>
        <v>261785.12829544675</v>
      </c>
    </row>
    <row r="64" spans="5:12" x14ac:dyDescent="0.25">
      <c r="E64" s="63">
        <v>61</v>
      </c>
      <c r="F64" s="33">
        <f t="shared" si="0"/>
        <v>1385.5595478245673</v>
      </c>
      <c r="G64" s="33">
        <f t="shared" si="1"/>
        <v>542.56664186016803</v>
      </c>
      <c r="H64" s="33">
        <f t="shared" si="14"/>
        <v>36161.267806780968</v>
      </c>
      <c r="I64" s="33">
        <f t="shared" si="15"/>
        <v>842.99290596439926</v>
      </c>
      <c r="J64" s="33">
        <f t="shared" si="16"/>
        <v>48357.86461051763</v>
      </c>
      <c r="K64" s="33">
        <f t="shared" si="17"/>
        <v>260942.13538948234</v>
      </c>
      <c r="L64" s="67"/>
    </row>
    <row r="65" spans="5:12" x14ac:dyDescent="0.25">
      <c r="E65" s="63">
        <v>62</v>
      </c>
      <c r="F65" s="33">
        <f t="shared" si="0"/>
        <v>1385.5595478245673</v>
      </c>
      <c r="G65" s="33">
        <f t="shared" si="1"/>
        <v>540.81948443728777</v>
      </c>
      <c r="H65" s="33">
        <f t="shared" si="14"/>
        <v>36702.087291218253</v>
      </c>
      <c r="I65" s="33">
        <f t="shared" si="15"/>
        <v>844.74006338727952</v>
      </c>
      <c r="J65" s="33">
        <f t="shared" si="16"/>
        <v>49202.604673904912</v>
      </c>
      <c r="K65" s="33">
        <f t="shared" si="17"/>
        <v>260097.39532609505</v>
      </c>
      <c r="L65" s="67"/>
    </row>
    <row r="66" spans="5:12" x14ac:dyDescent="0.25">
      <c r="E66" s="63">
        <v>63</v>
      </c>
      <c r="F66" s="33">
        <f t="shared" si="0"/>
        <v>1385.5595478245673</v>
      </c>
      <c r="G66" s="33">
        <f t="shared" si="1"/>
        <v>539.06870591743416</v>
      </c>
      <c r="H66" s="33">
        <f t="shared" si="14"/>
        <v>37241.155997135684</v>
      </c>
      <c r="I66" s="33">
        <f t="shared" si="15"/>
        <v>846.49084190713313</v>
      </c>
      <c r="J66" s="33">
        <f t="shared" si="16"/>
        <v>50049.095515812049</v>
      </c>
      <c r="K66" s="33">
        <f t="shared" si="17"/>
        <v>259250.90448418792</v>
      </c>
      <c r="L66" s="67"/>
    </row>
    <row r="67" spans="5:12" x14ac:dyDescent="0.25">
      <c r="E67" s="63">
        <v>64</v>
      </c>
      <c r="F67" s="33">
        <f t="shared" si="0"/>
        <v>1385.5595478245673</v>
      </c>
      <c r="G67" s="33">
        <f t="shared" si="1"/>
        <v>537.31429879564917</v>
      </c>
      <c r="H67" s="33">
        <f t="shared" si="14"/>
        <v>37778.470295931336</v>
      </c>
      <c r="I67" s="33">
        <f t="shared" si="15"/>
        <v>848.24524902891812</v>
      </c>
      <c r="J67" s="33">
        <f t="shared" si="16"/>
        <v>50897.34076484097</v>
      </c>
      <c r="K67" s="33">
        <f t="shared" si="17"/>
        <v>258402.65923515899</v>
      </c>
      <c r="L67" s="67"/>
    </row>
    <row r="68" spans="5:12" x14ac:dyDescent="0.25">
      <c r="E68" s="63">
        <v>65</v>
      </c>
      <c r="F68" s="33">
        <f t="shared" ref="F68:F131" si="19">VERSEMENT_MENSUEL</f>
        <v>1385.5595478245673</v>
      </c>
      <c r="G68" s="33">
        <f t="shared" ref="G68:G131" si="20">K67*INTERET_MOIS</f>
        <v>535.55625555142001</v>
      </c>
      <c r="H68" s="33">
        <f t="shared" si="14"/>
        <v>38314.026551482755</v>
      </c>
      <c r="I68" s="33">
        <f t="shared" si="15"/>
        <v>850.00329227314728</v>
      </c>
      <c r="J68" s="33">
        <f t="shared" si="16"/>
        <v>51747.344057114118</v>
      </c>
      <c r="K68" s="33">
        <f t="shared" si="17"/>
        <v>257552.65594288585</v>
      </c>
      <c r="L68" s="67"/>
    </row>
    <row r="69" spans="5:12" x14ac:dyDescent="0.25">
      <c r="E69" s="63">
        <v>66</v>
      </c>
      <c r="F69" s="33">
        <f t="shared" si="19"/>
        <v>1385.5595478245673</v>
      </c>
      <c r="G69" s="33">
        <f t="shared" si="20"/>
        <v>533.79456864864744</v>
      </c>
      <c r="H69" s="33">
        <f t="shared" si="14"/>
        <v>38847.821120131404</v>
      </c>
      <c r="I69" s="33">
        <f t="shared" si="15"/>
        <v>851.76497917591985</v>
      </c>
      <c r="J69" s="33">
        <f t="shared" si="16"/>
        <v>52599.109036290036</v>
      </c>
      <c r="K69" s="33">
        <f t="shared" si="17"/>
        <v>256700.89096370991</v>
      </c>
      <c r="L69" s="67"/>
    </row>
    <row r="70" spans="5:12" x14ac:dyDescent="0.25">
      <c r="E70" s="63">
        <v>67</v>
      </c>
      <c r="F70" s="33">
        <f t="shared" si="19"/>
        <v>1385.5595478245673</v>
      </c>
      <c r="G70" s="33">
        <f t="shared" si="20"/>
        <v>532.0292305356129</v>
      </c>
      <c r="H70" s="33">
        <f t="shared" si="14"/>
        <v>39379.850350667017</v>
      </c>
      <c r="I70" s="33">
        <f t="shared" si="15"/>
        <v>853.53031728895439</v>
      </c>
      <c r="J70" s="33">
        <f t="shared" si="16"/>
        <v>53452.63935357899</v>
      </c>
      <c r="K70" s="33">
        <f t="shared" si="17"/>
        <v>255847.36064642097</v>
      </c>
      <c r="L70" s="67"/>
    </row>
    <row r="71" spans="5:12" x14ac:dyDescent="0.25">
      <c r="E71" s="63">
        <v>68</v>
      </c>
      <c r="F71" s="33">
        <f t="shared" si="19"/>
        <v>1385.5595478245673</v>
      </c>
      <c r="G71" s="33">
        <f t="shared" si="20"/>
        <v>530.26023364494665</v>
      </c>
      <c r="H71" s="33">
        <f t="shared" si="14"/>
        <v>39910.110584311966</v>
      </c>
      <c r="I71" s="33">
        <f t="shared" si="15"/>
        <v>855.29931417962064</v>
      </c>
      <c r="J71" s="33">
        <f t="shared" si="16"/>
        <v>54307.938667758608</v>
      </c>
      <c r="K71" s="33">
        <f t="shared" si="17"/>
        <v>254992.06133224134</v>
      </c>
      <c r="L71" s="67"/>
    </row>
    <row r="72" spans="5:12" x14ac:dyDescent="0.25">
      <c r="E72" s="63">
        <v>69</v>
      </c>
      <c r="F72" s="33">
        <f t="shared" si="19"/>
        <v>1385.5595478245673</v>
      </c>
      <c r="G72" s="33">
        <f t="shared" si="20"/>
        <v>528.48757039359486</v>
      </c>
      <c r="H72" s="33">
        <f t="shared" si="14"/>
        <v>40438.598154705564</v>
      </c>
      <c r="I72" s="33">
        <f t="shared" si="15"/>
        <v>857.07197743097242</v>
      </c>
      <c r="J72" s="33">
        <f t="shared" si="16"/>
        <v>55165.010645189577</v>
      </c>
      <c r="K72" s="33">
        <f t="shared" si="17"/>
        <v>254134.98935481036</v>
      </c>
      <c r="L72" s="67"/>
    </row>
    <row r="73" spans="5:12" x14ac:dyDescent="0.25">
      <c r="E73" s="63">
        <v>70</v>
      </c>
      <c r="F73" s="33">
        <f t="shared" si="19"/>
        <v>1385.5595478245673</v>
      </c>
      <c r="G73" s="33">
        <f t="shared" si="20"/>
        <v>526.71123318278751</v>
      </c>
      <c r="H73" s="33">
        <f t="shared" si="14"/>
        <v>40965.309387888352</v>
      </c>
      <c r="I73" s="33">
        <f t="shared" si="15"/>
        <v>858.84831464177978</v>
      </c>
      <c r="J73" s="33">
        <f t="shared" si="16"/>
        <v>56023.858959831356</v>
      </c>
      <c r="K73" s="33">
        <f t="shared" si="17"/>
        <v>253276.14104016859</v>
      </c>
      <c r="L73" s="67"/>
    </row>
    <row r="74" spans="5:12" x14ac:dyDescent="0.25">
      <c r="E74" s="63">
        <v>71</v>
      </c>
      <c r="F74" s="33">
        <f t="shared" si="19"/>
        <v>1385.5595478245673</v>
      </c>
      <c r="G74" s="33">
        <f t="shared" si="20"/>
        <v>524.93121439800552</v>
      </c>
      <c r="H74" s="33">
        <f t="shared" si="14"/>
        <v>41490.240602286358</v>
      </c>
      <c r="I74" s="33">
        <f t="shared" si="15"/>
        <v>860.62833342656177</v>
      </c>
      <c r="J74" s="33">
        <f t="shared" si="16"/>
        <v>56884.487293257916</v>
      </c>
      <c r="K74" s="33">
        <f t="shared" si="17"/>
        <v>252415.51270674201</v>
      </c>
      <c r="L74" s="67"/>
    </row>
    <row r="75" spans="5:12" x14ac:dyDescent="0.25">
      <c r="E75" s="63">
        <v>72</v>
      </c>
      <c r="F75" s="33">
        <f t="shared" si="19"/>
        <v>1385.5595478245673</v>
      </c>
      <c r="G75" s="33">
        <f t="shared" si="20"/>
        <v>523.14750640894829</v>
      </c>
      <c r="H75" s="33">
        <f t="shared" si="14"/>
        <v>42013.388108695304</v>
      </c>
      <c r="I75" s="33">
        <f t="shared" si="15"/>
        <v>862.412041415619</v>
      </c>
      <c r="J75" s="33">
        <f t="shared" si="16"/>
        <v>57746.899334673537</v>
      </c>
      <c r="K75" s="33">
        <f t="shared" si="17"/>
        <v>251553.1006653264</v>
      </c>
      <c r="L75" s="33">
        <f t="shared" ref="L75" si="21">K75</f>
        <v>251553.1006653264</v>
      </c>
    </row>
    <row r="76" spans="5:12" x14ac:dyDescent="0.25">
      <c r="E76" s="63">
        <v>73</v>
      </c>
      <c r="F76" s="33">
        <f t="shared" si="19"/>
        <v>1385.5595478245673</v>
      </c>
      <c r="G76" s="33">
        <f t="shared" si="20"/>
        <v>521.3601015695009</v>
      </c>
      <c r="H76" s="33">
        <f t="shared" si="14"/>
        <v>42534.748210264806</v>
      </c>
      <c r="I76" s="33">
        <f t="shared" si="15"/>
        <v>864.19944625506639</v>
      </c>
      <c r="J76" s="33">
        <f t="shared" si="16"/>
        <v>58611.098780928602</v>
      </c>
      <c r="K76" s="33">
        <f t="shared" si="17"/>
        <v>250688.90121907133</v>
      </c>
      <c r="L76" s="67"/>
    </row>
    <row r="77" spans="5:12" x14ac:dyDescent="0.25">
      <c r="E77" s="63">
        <v>74</v>
      </c>
      <c r="F77" s="33">
        <f t="shared" si="19"/>
        <v>1385.5595478245673</v>
      </c>
      <c r="G77" s="33">
        <f t="shared" si="20"/>
        <v>519.56899221770129</v>
      </c>
      <c r="H77" s="33">
        <f t="shared" si="14"/>
        <v>43054.317202482511</v>
      </c>
      <c r="I77" s="33">
        <f t="shared" si="15"/>
        <v>865.990555606866</v>
      </c>
      <c r="J77" s="33">
        <f t="shared" si="16"/>
        <v>59477.089336535464</v>
      </c>
      <c r="K77" s="33">
        <f t="shared" si="17"/>
        <v>249822.91066346446</v>
      </c>
      <c r="L77" s="67"/>
    </row>
    <row r="78" spans="5:12" x14ac:dyDescent="0.25">
      <c r="E78" s="63">
        <v>75</v>
      </c>
      <c r="F78" s="33">
        <f t="shared" si="19"/>
        <v>1385.5595478245673</v>
      </c>
      <c r="G78" s="33">
        <f t="shared" si="20"/>
        <v>517.77417067570764</v>
      </c>
      <c r="H78" s="33">
        <f t="shared" si="14"/>
        <v>43572.091373158219</v>
      </c>
      <c r="I78" s="33">
        <f t="shared" si="15"/>
        <v>867.78537714885965</v>
      </c>
      <c r="J78" s="33">
        <f t="shared" si="16"/>
        <v>60344.874713684323</v>
      </c>
      <c r="K78" s="33">
        <f t="shared" si="17"/>
        <v>248955.1252863156</v>
      </c>
      <c r="L78" s="67"/>
    </row>
    <row r="79" spans="5:12" x14ac:dyDescent="0.25">
      <c r="E79" s="63">
        <v>76</v>
      </c>
      <c r="F79" s="33">
        <f t="shared" si="19"/>
        <v>1385.5595478245673</v>
      </c>
      <c r="G79" s="33">
        <f t="shared" si="20"/>
        <v>515.97562924976523</v>
      </c>
      <c r="H79" s="33">
        <f t="shared" si="14"/>
        <v>44088.067002407981</v>
      </c>
      <c r="I79" s="33">
        <f t="shared" si="15"/>
        <v>869.58391857480206</v>
      </c>
      <c r="J79" s="33">
        <f t="shared" si="16"/>
        <v>61214.458632259128</v>
      </c>
      <c r="K79" s="33">
        <f t="shared" si="17"/>
        <v>248085.54136774081</v>
      </c>
      <c r="L79" s="67"/>
    </row>
    <row r="80" spans="5:12" x14ac:dyDescent="0.25">
      <c r="E80" s="63">
        <v>77</v>
      </c>
      <c r="F80" s="33">
        <f t="shared" si="19"/>
        <v>1385.5595478245673</v>
      </c>
      <c r="G80" s="33">
        <f t="shared" si="20"/>
        <v>514.17336023017344</v>
      </c>
      <c r="H80" s="33">
        <f t="shared" si="14"/>
        <v>44602.240362638157</v>
      </c>
      <c r="I80" s="33">
        <f t="shared" si="15"/>
        <v>871.38618759439385</v>
      </c>
      <c r="J80" s="33">
        <f t="shared" si="16"/>
        <v>62085.844819853519</v>
      </c>
      <c r="K80" s="33">
        <f t="shared" si="17"/>
        <v>247214.15518014642</v>
      </c>
      <c r="L80" s="67"/>
    </row>
    <row r="81" spans="5:12" x14ac:dyDescent="0.25">
      <c r="E81" s="63">
        <v>78</v>
      </c>
      <c r="F81" s="33">
        <f t="shared" si="19"/>
        <v>1385.5595478245673</v>
      </c>
      <c r="G81" s="33">
        <f t="shared" si="20"/>
        <v>512.36735589125306</v>
      </c>
      <c r="H81" s="33">
        <f t="shared" si="14"/>
        <v>45114.607718529413</v>
      </c>
      <c r="I81" s="33">
        <f t="shared" si="15"/>
        <v>873.19219193331423</v>
      </c>
      <c r="J81" s="33">
        <f t="shared" si="16"/>
        <v>62959.03701178683</v>
      </c>
      <c r="K81" s="33">
        <f t="shared" si="17"/>
        <v>246340.96298821311</v>
      </c>
      <c r="L81" s="67"/>
    </row>
    <row r="82" spans="5:12" x14ac:dyDescent="0.25">
      <c r="E82" s="63">
        <v>79</v>
      </c>
      <c r="F82" s="33">
        <f t="shared" si="19"/>
        <v>1385.5595478245673</v>
      </c>
      <c r="G82" s="33">
        <f t="shared" si="20"/>
        <v>510.55760849131252</v>
      </c>
      <c r="H82" s="33">
        <f t="shared" si="14"/>
        <v>45625.165327020724</v>
      </c>
      <c r="I82" s="33">
        <f t="shared" si="15"/>
        <v>875.00193933325477</v>
      </c>
      <c r="J82" s="33">
        <f t="shared" si="16"/>
        <v>63834.038951120085</v>
      </c>
      <c r="K82" s="33">
        <f t="shared" si="17"/>
        <v>245465.96104887986</v>
      </c>
      <c r="L82" s="67"/>
    </row>
    <row r="83" spans="5:12" x14ac:dyDescent="0.25">
      <c r="E83" s="63">
        <v>80</v>
      </c>
      <c r="F83" s="33">
        <f t="shared" si="19"/>
        <v>1385.5595478245673</v>
      </c>
      <c r="G83" s="33">
        <f t="shared" si="20"/>
        <v>508.7441102726155</v>
      </c>
      <c r="H83" s="33">
        <f t="shared" si="14"/>
        <v>46133.90943729334</v>
      </c>
      <c r="I83" s="33">
        <f t="shared" si="15"/>
        <v>876.81543755195185</v>
      </c>
      <c r="J83" s="33">
        <f t="shared" si="16"/>
        <v>64710.854388672036</v>
      </c>
      <c r="K83" s="33">
        <f t="shared" si="17"/>
        <v>244589.1456113279</v>
      </c>
      <c r="L83" s="67"/>
    </row>
    <row r="84" spans="5:12" x14ac:dyDescent="0.25">
      <c r="E84" s="63">
        <v>81</v>
      </c>
      <c r="F84" s="33">
        <f t="shared" si="19"/>
        <v>1385.5595478245673</v>
      </c>
      <c r="G84" s="33">
        <f t="shared" si="20"/>
        <v>506.92685346134687</v>
      </c>
      <c r="H84" s="33">
        <f t="shared" si="14"/>
        <v>46640.836290754683</v>
      </c>
      <c r="I84" s="33">
        <f t="shared" si="15"/>
        <v>878.63269436322048</v>
      </c>
      <c r="J84" s="33">
        <f t="shared" si="16"/>
        <v>65589.487083035259</v>
      </c>
      <c r="K84" s="33">
        <f t="shared" si="17"/>
        <v>243710.51291696468</v>
      </c>
      <c r="L84" s="67"/>
    </row>
    <row r="85" spans="5:12" x14ac:dyDescent="0.25">
      <c r="E85" s="63">
        <v>82</v>
      </c>
      <c r="F85" s="33">
        <f t="shared" si="19"/>
        <v>1385.5595478245673</v>
      </c>
      <c r="G85" s="33">
        <f t="shared" si="20"/>
        <v>505.10583026758019</v>
      </c>
      <c r="H85" s="33">
        <f t="shared" si="14"/>
        <v>47145.942121022264</v>
      </c>
      <c r="I85" s="33">
        <f t="shared" si="15"/>
        <v>880.45371755698716</v>
      </c>
      <c r="J85" s="33">
        <f t="shared" si="16"/>
        <v>66469.940800592245</v>
      </c>
      <c r="K85" s="33">
        <f t="shared" si="17"/>
        <v>242830.0591994077</v>
      </c>
      <c r="L85" s="67"/>
    </row>
    <row r="86" spans="5:12" x14ac:dyDescent="0.25">
      <c r="E86" s="63">
        <v>83</v>
      </c>
      <c r="F86" s="33">
        <f t="shared" si="19"/>
        <v>1385.5595478245673</v>
      </c>
      <c r="G86" s="33">
        <f t="shared" si="20"/>
        <v>503.28103288524352</v>
      </c>
      <c r="H86" s="33">
        <f t="shared" si="14"/>
        <v>47649.223153907507</v>
      </c>
      <c r="I86" s="33">
        <f t="shared" si="15"/>
        <v>882.27851493932371</v>
      </c>
      <c r="J86" s="33">
        <f t="shared" si="16"/>
        <v>67352.219315531562</v>
      </c>
      <c r="K86" s="33">
        <f t="shared" si="17"/>
        <v>241947.78068446837</v>
      </c>
      <c r="L86" s="67"/>
    </row>
    <row r="87" spans="5:12" x14ac:dyDescent="0.25">
      <c r="E87" s="63">
        <v>84</v>
      </c>
      <c r="F87" s="33">
        <f t="shared" si="19"/>
        <v>1385.5595478245673</v>
      </c>
      <c r="G87" s="33">
        <f t="shared" si="20"/>
        <v>501.45245349208653</v>
      </c>
      <c r="H87" s="33">
        <f t="shared" si="14"/>
        <v>48150.675607399593</v>
      </c>
      <c r="I87" s="33">
        <f t="shared" si="15"/>
        <v>884.10709433248076</v>
      </c>
      <c r="J87" s="33">
        <f t="shared" si="16"/>
        <v>68236.326409864036</v>
      </c>
      <c r="K87" s="33">
        <f t="shared" si="17"/>
        <v>241063.67359013588</v>
      </c>
      <c r="L87" s="33">
        <f t="shared" ref="L87" si="22">K87</f>
        <v>241063.67359013588</v>
      </c>
    </row>
    <row r="88" spans="5:12" x14ac:dyDescent="0.25">
      <c r="E88" s="63">
        <v>85</v>
      </c>
      <c r="F88" s="33">
        <f t="shared" si="19"/>
        <v>1385.5595478245673</v>
      </c>
      <c r="G88" s="33">
        <f t="shared" si="20"/>
        <v>499.62008424964677</v>
      </c>
      <c r="H88" s="33">
        <f t="shared" si="14"/>
        <v>48650.29569164924</v>
      </c>
      <c r="I88" s="33">
        <f t="shared" si="15"/>
        <v>885.93946357492052</v>
      </c>
      <c r="J88" s="33">
        <f t="shared" si="16"/>
        <v>69122.265873438955</v>
      </c>
      <c r="K88" s="33">
        <f t="shared" si="17"/>
        <v>240177.73412656094</v>
      </c>
      <c r="L88" s="67"/>
    </row>
    <row r="89" spans="5:12" x14ac:dyDescent="0.25">
      <c r="E89" s="63">
        <v>86</v>
      </c>
      <c r="F89" s="33">
        <f t="shared" si="19"/>
        <v>1385.5595478245673</v>
      </c>
      <c r="G89" s="33">
        <f t="shared" si="20"/>
        <v>497.78391730321596</v>
      </c>
      <c r="H89" s="33">
        <f t="shared" si="14"/>
        <v>49148.079608952459</v>
      </c>
      <c r="I89" s="33">
        <f t="shared" si="15"/>
        <v>887.77563052135133</v>
      </c>
      <c r="J89" s="33">
        <f t="shared" si="16"/>
        <v>70010.04150396031</v>
      </c>
      <c r="K89" s="33">
        <f t="shared" si="17"/>
        <v>239289.95849603959</v>
      </c>
      <c r="L89" s="67"/>
    </row>
    <row r="90" spans="5:12" x14ac:dyDescent="0.25">
      <c r="E90" s="63">
        <v>87</v>
      </c>
      <c r="F90" s="33">
        <f t="shared" si="19"/>
        <v>1385.5595478245673</v>
      </c>
      <c r="G90" s="33">
        <f t="shared" si="20"/>
        <v>495.94394478180652</v>
      </c>
      <c r="H90" s="33">
        <f t="shared" si="14"/>
        <v>49644.023553734267</v>
      </c>
      <c r="I90" s="33">
        <f t="shared" si="15"/>
        <v>889.61560304276077</v>
      </c>
      <c r="J90" s="33">
        <f t="shared" si="16"/>
        <v>70899.657107003077</v>
      </c>
      <c r="K90" s="33">
        <f t="shared" si="17"/>
        <v>238400.34289299682</v>
      </c>
      <c r="L90" s="67"/>
    </row>
    <row r="91" spans="5:12" x14ac:dyDescent="0.25">
      <c r="E91" s="63">
        <v>88</v>
      </c>
      <c r="F91" s="33">
        <f t="shared" si="19"/>
        <v>1385.5595478245673</v>
      </c>
      <c r="G91" s="33">
        <f t="shared" si="20"/>
        <v>494.10015879811772</v>
      </c>
      <c r="H91" s="33">
        <f t="shared" si="14"/>
        <v>50138.123712532382</v>
      </c>
      <c r="I91" s="33">
        <f t="shared" si="15"/>
        <v>891.45938902644957</v>
      </c>
      <c r="J91" s="33">
        <f t="shared" si="16"/>
        <v>71791.116496029528</v>
      </c>
      <c r="K91" s="33">
        <f t="shared" si="17"/>
        <v>237508.88350397037</v>
      </c>
      <c r="L91" s="67"/>
    </row>
    <row r="92" spans="5:12" x14ac:dyDescent="0.25">
      <c r="E92" s="63">
        <v>89</v>
      </c>
      <c r="F92" s="33">
        <f t="shared" si="19"/>
        <v>1385.5595478245673</v>
      </c>
      <c r="G92" s="33">
        <f t="shared" si="20"/>
        <v>492.25255144850183</v>
      </c>
      <c r="H92" s="33">
        <f t="shared" si="14"/>
        <v>50630.376263980885</v>
      </c>
      <c r="I92" s="33">
        <f t="shared" si="15"/>
        <v>893.3069963760654</v>
      </c>
      <c r="J92" s="33">
        <f t="shared" si="16"/>
        <v>72684.423492405593</v>
      </c>
      <c r="K92" s="33">
        <f t="shared" si="17"/>
        <v>236615.57650759429</v>
      </c>
      <c r="L92" s="67"/>
    </row>
    <row r="93" spans="5:12" x14ac:dyDescent="0.25">
      <c r="E93" s="63">
        <v>90</v>
      </c>
      <c r="F93" s="33">
        <f t="shared" si="19"/>
        <v>1385.5595478245673</v>
      </c>
      <c r="G93" s="33">
        <f t="shared" si="20"/>
        <v>490.40111481293042</v>
      </c>
      <c r="H93" s="33">
        <f t="shared" si="14"/>
        <v>51120.777378793813</v>
      </c>
      <c r="I93" s="33">
        <f t="shared" si="15"/>
        <v>895.15843301163682</v>
      </c>
      <c r="J93" s="33">
        <f t="shared" si="16"/>
        <v>73579.581925417224</v>
      </c>
      <c r="K93" s="33">
        <f t="shared" si="17"/>
        <v>235720.41807458265</v>
      </c>
      <c r="L93" s="67"/>
    </row>
    <row r="94" spans="5:12" x14ac:dyDescent="0.25">
      <c r="E94" s="63">
        <v>91</v>
      </c>
      <c r="F94" s="33">
        <f t="shared" si="19"/>
        <v>1385.5595478245673</v>
      </c>
      <c r="G94" s="33">
        <f t="shared" si="20"/>
        <v>488.54584095496011</v>
      </c>
      <c r="H94" s="33">
        <f t="shared" si="14"/>
        <v>51609.323219748774</v>
      </c>
      <c r="I94" s="33">
        <f t="shared" si="15"/>
        <v>897.01370686960718</v>
      </c>
      <c r="J94" s="33">
        <f t="shared" si="16"/>
        <v>74476.59563228683</v>
      </c>
      <c r="K94" s="33">
        <f t="shared" si="17"/>
        <v>234823.40436771302</v>
      </c>
      <c r="L94" s="67"/>
    </row>
    <row r="95" spans="5:12" x14ac:dyDescent="0.25">
      <c r="E95" s="63">
        <v>92</v>
      </c>
      <c r="F95" s="33">
        <f t="shared" si="19"/>
        <v>1385.5595478245673</v>
      </c>
      <c r="G95" s="33">
        <f t="shared" si="20"/>
        <v>486.6867219216989</v>
      </c>
      <c r="H95" s="33">
        <f t="shared" si="14"/>
        <v>52096.009941670476</v>
      </c>
      <c r="I95" s="33">
        <f t="shared" si="15"/>
        <v>898.87282590286839</v>
      </c>
      <c r="J95" s="33">
        <f t="shared" si="16"/>
        <v>75375.468458189702</v>
      </c>
      <c r="K95" s="33">
        <f t="shared" si="17"/>
        <v>233924.53154181017</v>
      </c>
      <c r="L95" s="67"/>
    </row>
    <row r="96" spans="5:12" x14ac:dyDescent="0.25">
      <c r="E96" s="63">
        <v>93</v>
      </c>
      <c r="F96" s="33">
        <f t="shared" si="19"/>
        <v>1385.5595478245673</v>
      </c>
      <c r="G96" s="33">
        <f t="shared" si="20"/>
        <v>484.82374974377188</v>
      </c>
      <c r="H96" s="33">
        <f t="shared" si="14"/>
        <v>52580.833691414249</v>
      </c>
      <c r="I96" s="33">
        <f t="shared" si="15"/>
        <v>900.73579808079535</v>
      </c>
      <c r="J96" s="33">
        <f t="shared" si="16"/>
        <v>76276.204256270503</v>
      </c>
      <c r="K96" s="33">
        <f t="shared" si="17"/>
        <v>233023.79574372937</v>
      </c>
      <c r="L96" s="67"/>
    </row>
    <row r="97" spans="5:12" x14ac:dyDescent="0.25">
      <c r="E97" s="63">
        <v>94</v>
      </c>
      <c r="F97" s="33">
        <f t="shared" si="19"/>
        <v>1385.5595478245673</v>
      </c>
      <c r="G97" s="33">
        <f t="shared" si="20"/>
        <v>482.95691643528698</v>
      </c>
      <c r="H97" s="33">
        <f t="shared" si="14"/>
        <v>53063.790607849536</v>
      </c>
      <c r="I97" s="33">
        <f t="shared" si="15"/>
        <v>902.6026313892803</v>
      </c>
      <c r="J97" s="33">
        <f t="shared" si="16"/>
        <v>77178.806887659783</v>
      </c>
      <c r="K97" s="33">
        <f t="shared" si="17"/>
        <v>232121.19311234009</v>
      </c>
      <c r="L97" s="67"/>
    </row>
    <row r="98" spans="5:12" x14ac:dyDescent="0.25">
      <c r="E98" s="63">
        <v>95</v>
      </c>
      <c r="F98" s="33">
        <f t="shared" si="19"/>
        <v>1385.5595478245673</v>
      </c>
      <c r="G98" s="33">
        <f t="shared" si="20"/>
        <v>481.08621399380092</v>
      </c>
      <c r="H98" s="33">
        <f t="shared" si="14"/>
        <v>53544.87682184334</v>
      </c>
      <c r="I98" s="33">
        <f t="shared" si="15"/>
        <v>904.47333383076636</v>
      </c>
      <c r="J98" s="33">
        <f t="shared" si="16"/>
        <v>78083.280221490553</v>
      </c>
      <c r="K98" s="33">
        <f t="shared" si="17"/>
        <v>231216.71977850932</v>
      </c>
      <c r="L98" s="67"/>
    </row>
    <row r="99" spans="5:12" x14ac:dyDescent="0.25">
      <c r="E99" s="63">
        <v>96</v>
      </c>
      <c r="F99" s="33">
        <f t="shared" si="19"/>
        <v>1385.5595478245673</v>
      </c>
      <c r="G99" s="33">
        <f t="shared" si="20"/>
        <v>479.21163440028482</v>
      </c>
      <c r="H99" s="33">
        <f t="shared" si="14"/>
        <v>54024.088456243626</v>
      </c>
      <c r="I99" s="33">
        <f t="shared" si="15"/>
        <v>906.34791342428252</v>
      </c>
      <c r="J99" s="33">
        <f t="shared" si="16"/>
        <v>78989.628134914834</v>
      </c>
      <c r="K99" s="33">
        <f t="shared" si="17"/>
        <v>230310.37186508504</v>
      </c>
      <c r="L99" s="33">
        <f t="shared" ref="L99" si="23">K99</f>
        <v>230310.37186508504</v>
      </c>
    </row>
    <row r="100" spans="5:12" x14ac:dyDescent="0.25">
      <c r="E100" s="63">
        <v>97</v>
      </c>
      <c r="F100" s="33">
        <f t="shared" si="19"/>
        <v>1385.5595478245673</v>
      </c>
      <c r="G100" s="33">
        <f t="shared" si="20"/>
        <v>477.33316961908997</v>
      </c>
      <c r="H100" s="33">
        <f t="shared" si="14"/>
        <v>54501.421625862713</v>
      </c>
      <c r="I100" s="33">
        <f t="shared" si="15"/>
        <v>908.22637820547732</v>
      </c>
      <c r="J100" s="33">
        <f t="shared" si="16"/>
        <v>79897.854513120314</v>
      </c>
      <c r="K100" s="33">
        <f t="shared" si="17"/>
        <v>229402.14548687957</v>
      </c>
      <c r="L100" s="67"/>
    </row>
    <row r="101" spans="5:12" x14ac:dyDescent="0.25">
      <c r="E101" s="63">
        <v>98</v>
      </c>
      <c r="F101" s="33">
        <f t="shared" si="19"/>
        <v>1385.5595478245673</v>
      </c>
      <c r="G101" s="33">
        <f t="shared" si="20"/>
        <v>475.450811597913</v>
      </c>
      <c r="H101" s="33">
        <f t="shared" si="14"/>
        <v>54976.872437460624</v>
      </c>
      <c r="I101" s="33">
        <f t="shared" si="15"/>
        <v>910.10873622665429</v>
      </c>
      <c r="J101" s="33">
        <f t="shared" si="16"/>
        <v>80807.963249346969</v>
      </c>
      <c r="K101" s="33">
        <f t="shared" si="17"/>
        <v>228492.03675065291</v>
      </c>
      <c r="L101" s="67"/>
    </row>
    <row r="102" spans="5:12" x14ac:dyDescent="0.25">
      <c r="E102" s="63">
        <v>99</v>
      </c>
      <c r="F102" s="33">
        <f t="shared" si="19"/>
        <v>1385.5595478245673</v>
      </c>
      <c r="G102" s="33">
        <f t="shared" si="20"/>
        <v>473.56455226776188</v>
      </c>
      <c r="H102" s="33">
        <f t="shared" si="14"/>
        <v>55450.436989728383</v>
      </c>
      <c r="I102" s="33">
        <f t="shared" si="15"/>
        <v>911.99499555680541</v>
      </c>
      <c r="J102" s="33">
        <f t="shared" si="16"/>
        <v>81719.95824490377</v>
      </c>
      <c r="K102" s="33">
        <f t="shared" si="17"/>
        <v>227580.04175509611</v>
      </c>
      <c r="L102" s="67"/>
    </row>
    <row r="103" spans="5:12" x14ac:dyDescent="0.25">
      <c r="E103" s="63">
        <v>100</v>
      </c>
      <c r="F103" s="33">
        <f t="shared" si="19"/>
        <v>1385.5595478245673</v>
      </c>
      <c r="G103" s="33">
        <f t="shared" si="20"/>
        <v>471.67438354292091</v>
      </c>
      <c r="H103" s="33">
        <f t="shared" si="14"/>
        <v>55922.111373271306</v>
      </c>
      <c r="I103" s="33">
        <f t="shared" si="15"/>
        <v>913.88516428164644</v>
      </c>
      <c r="J103" s="33">
        <f t="shared" si="16"/>
        <v>82633.843409185414</v>
      </c>
      <c r="K103" s="33">
        <f t="shared" si="17"/>
        <v>226666.15659081447</v>
      </c>
      <c r="L103" s="67"/>
    </row>
    <row r="104" spans="5:12" x14ac:dyDescent="0.25">
      <c r="E104" s="63">
        <v>101</v>
      </c>
      <c r="F104" s="33">
        <f t="shared" si="19"/>
        <v>1385.5595478245673</v>
      </c>
      <c r="G104" s="33">
        <f t="shared" si="20"/>
        <v>469.7802973209163</v>
      </c>
      <c r="H104" s="33">
        <f t="shared" ref="H104:H167" si="24">H103+G104</f>
        <v>56391.891670592224</v>
      </c>
      <c r="I104" s="33">
        <f t="shared" ref="I104:I167" si="25">F104-G104</f>
        <v>915.77925050365093</v>
      </c>
      <c r="J104" s="33">
        <f t="shared" ref="J104:J167" si="26">J103+I104</f>
        <v>83549.622659689063</v>
      </c>
      <c r="K104" s="33">
        <f t="shared" ref="K104:K167" si="27">K103-I104</f>
        <v>225750.37734031081</v>
      </c>
      <c r="L104" s="67"/>
    </row>
    <row r="105" spans="5:12" x14ac:dyDescent="0.25">
      <c r="E105" s="63">
        <v>102</v>
      </c>
      <c r="F105" s="33">
        <f t="shared" si="19"/>
        <v>1385.5595478245673</v>
      </c>
      <c r="G105" s="33">
        <f t="shared" si="20"/>
        <v>467.88228548248128</v>
      </c>
      <c r="H105" s="33">
        <f t="shared" si="24"/>
        <v>56859.773956074707</v>
      </c>
      <c r="I105" s="33">
        <f t="shared" si="25"/>
        <v>917.67726234208601</v>
      </c>
      <c r="J105" s="33">
        <f t="shared" si="26"/>
        <v>84467.299922031147</v>
      </c>
      <c r="K105" s="33">
        <f t="shared" si="27"/>
        <v>224832.70007796871</v>
      </c>
      <c r="L105" s="67"/>
    </row>
    <row r="106" spans="5:12" x14ac:dyDescent="0.25">
      <c r="E106" s="63">
        <v>103</v>
      </c>
      <c r="F106" s="33">
        <f t="shared" si="19"/>
        <v>1385.5595478245673</v>
      </c>
      <c r="G106" s="33">
        <f t="shared" si="20"/>
        <v>465.9803398915214</v>
      </c>
      <c r="H106" s="33">
        <f t="shared" si="24"/>
        <v>57325.754295966231</v>
      </c>
      <c r="I106" s="33">
        <f t="shared" si="25"/>
        <v>919.57920793304584</v>
      </c>
      <c r="J106" s="33">
        <f t="shared" si="26"/>
        <v>85386.879129964189</v>
      </c>
      <c r="K106" s="33">
        <f t="shared" si="27"/>
        <v>223913.12087003567</v>
      </c>
      <c r="L106" s="67"/>
    </row>
    <row r="107" spans="5:12" x14ac:dyDescent="0.25">
      <c r="E107" s="63">
        <v>104</v>
      </c>
      <c r="F107" s="33">
        <f t="shared" si="19"/>
        <v>1385.5595478245673</v>
      </c>
      <c r="G107" s="33">
        <f t="shared" si="20"/>
        <v>464.07445239507979</v>
      </c>
      <c r="H107" s="33">
        <f t="shared" si="24"/>
        <v>57789.828748361309</v>
      </c>
      <c r="I107" s="33">
        <f t="shared" si="25"/>
        <v>921.4850954294875</v>
      </c>
      <c r="J107" s="33">
        <f t="shared" si="26"/>
        <v>86308.36422539367</v>
      </c>
      <c r="K107" s="33">
        <f t="shared" si="27"/>
        <v>222991.63577460617</v>
      </c>
      <c r="L107" s="67"/>
    </row>
    <row r="108" spans="5:12" x14ac:dyDescent="0.25">
      <c r="E108" s="63">
        <v>105</v>
      </c>
      <c r="F108" s="33">
        <f t="shared" si="19"/>
        <v>1385.5595478245673</v>
      </c>
      <c r="G108" s="33">
        <f t="shared" si="20"/>
        <v>462.16461482330175</v>
      </c>
      <c r="H108" s="33">
        <f t="shared" si="24"/>
        <v>58251.993363184614</v>
      </c>
      <c r="I108" s="33">
        <f t="shared" si="25"/>
        <v>923.3949330012656</v>
      </c>
      <c r="J108" s="33">
        <f t="shared" si="26"/>
        <v>87231.75915839494</v>
      </c>
      <c r="K108" s="33">
        <f t="shared" si="27"/>
        <v>222068.24084160491</v>
      </c>
      <c r="L108" s="67"/>
    </row>
    <row r="109" spans="5:12" x14ac:dyDescent="0.25">
      <c r="E109" s="63">
        <v>106</v>
      </c>
      <c r="F109" s="33">
        <f t="shared" si="19"/>
        <v>1385.5595478245673</v>
      </c>
      <c r="G109" s="33">
        <f t="shared" si="20"/>
        <v>460.25081898940027</v>
      </c>
      <c r="H109" s="33">
        <f t="shared" si="24"/>
        <v>58712.244182174014</v>
      </c>
      <c r="I109" s="33">
        <f t="shared" si="25"/>
        <v>925.30872883516702</v>
      </c>
      <c r="J109" s="33">
        <f t="shared" si="26"/>
        <v>88157.067887230107</v>
      </c>
      <c r="K109" s="33">
        <f t="shared" si="27"/>
        <v>221142.93211276975</v>
      </c>
      <c r="L109" s="67"/>
    </row>
    <row r="110" spans="5:12" x14ac:dyDescent="0.25">
      <c r="E110" s="63">
        <v>107</v>
      </c>
      <c r="F110" s="33">
        <f t="shared" si="19"/>
        <v>1385.5595478245673</v>
      </c>
      <c r="G110" s="33">
        <f t="shared" si="20"/>
        <v>458.33305668962055</v>
      </c>
      <c r="H110" s="33">
        <f t="shared" si="24"/>
        <v>59170.577238863632</v>
      </c>
      <c r="I110" s="33">
        <f t="shared" si="25"/>
        <v>927.22649113494674</v>
      </c>
      <c r="J110" s="33">
        <f t="shared" si="26"/>
        <v>89084.294378365055</v>
      </c>
      <c r="K110" s="33">
        <f t="shared" si="27"/>
        <v>220215.70562163481</v>
      </c>
      <c r="L110" s="67"/>
    </row>
    <row r="111" spans="5:12" x14ac:dyDescent="0.25">
      <c r="E111" s="63">
        <v>108</v>
      </c>
      <c r="F111" s="33">
        <f t="shared" si="19"/>
        <v>1385.5595478245673</v>
      </c>
      <c r="G111" s="33">
        <f t="shared" si="20"/>
        <v>456.41131970320515</v>
      </c>
      <c r="H111" s="33">
        <f t="shared" si="24"/>
        <v>59626.988558566838</v>
      </c>
      <c r="I111" s="33">
        <f t="shared" si="25"/>
        <v>929.14822812136208</v>
      </c>
      <c r="J111" s="33">
        <f t="shared" si="26"/>
        <v>90013.442606486424</v>
      </c>
      <c r="K111" s="33">
        <f t="shared" si="27"/>
        <v>219286.55739351345</v>
      </c>
      <c r="L111" s="33">
        <f t="shared" ref="L111" si="28">K111</f>
        <v>219286.55739351345</v>
      </c>
    </row>
    <row r="112" spans="5:12" x14ac:dyDescent="0.25">
      <c r="E112" s="63">
        <v>109</v>
      </c>
      <c r="F112" s="33">
        <f t="shared" si="19"/>
        <v>1385.5595478245673</v>
      </c>
      <c r="G112" s="33">
        <f t="shared" si="20"/>
        <v>454.4855997923583</v>
      </c>
      <c r="H112" s="33">
        <f t="shared" si="24"/>
        <v>60081.474158359197</v>
      </c>
      <c r="I112" s="33">
        <f t="shared" si="25"/>
        <v>931.07394803220905</v>
      </c>
      <c r="J112" s="33">
        <f t="shared" si="26"/>
        <v>90944.516554518632</v>
      </c>
      <c r="K112" s="33">
        <f t="shared" si="27"/>
        <v>218355.48344548122</v>
      </c>
      <c r="L112" s="67"/>
    </row>
    <row r="113" spans="5:12" x14ac:dyDescent="0.25">
      <c r="E113" s="63">
        <v>110</v>
      </c>
      <c r="F113" s="33">
        <f t="shared" si="19"/>
        <v>1385.5595478245673</v>
      </c>
      <c r="G113" s="33">
        <f t="shared" si="20"/>
        <v>452.55588870221112</v>
      </c>
      <c r="H113" s="33">
        <f t="shared" si="24"/>
        <v>60534.030047061409</v>
      </c>
      <c r="I113" s="33">
        <f t="shared" si="25"/>
        <v>933.00365912235611</v>
      </c>
      <c r="J113" s="33">
        <f t="shared" si="26"/>
        <v>91877.520213640993</v>
      </c>
      <c r="K113" s="33">
        <f t="shared" si="27"/>
        <v>217422.47978635886</v>
      </c>
      <c r="L113" s="67"/>
    </row>
    <row r="114" spans="5:12" x14ac:dyDescent="0.25">
      <c r="E114" s="63">
        <v>111</v>
      </c>
      <c r="F114" s="33">
        <f t="shared" si="19"/>
        <v>1385.5595478245673</v>
      </c>
      <c r="G114" s="33">
        <f t="shared" si="20"/>
        <v>450.62217816078584</v>
      </c>
      <c r="H114" s="33">
        <f t="shared" si="24"/>
        <v>60984.652225222198</v>
      </c>
      <c r="I114" s="33">
        <f t="shared" si="25"/>
        <v>934.93736966378151</v>
      </c>
      <c r="J114" s="33">
        <f t="shared" si="26"/>
        <v>92812.457583304771</v>
      </c>
      <c r="K114" s="33">
        <f t="shared" si="27"/>
        <v>216487.54241669507</v>
      </c>
      <c r="L114" s="67"/>
    </row>
    <row r="115" spans="5:12" x14ac:dyDescent="0.25">
      <c r="E115" s="63">
        <v>112</v>
      </c>
      <c r="F115" s="33">
        <f t="shared" si="19"/>
        <v>1385.5595478245673</v>
      </c>
      <c r="G115" s="33">
        <f t="shared" si="20"/>
        <v>448.68445987896058</v>
      </c>
      <c r="H115" s="33">
        <f t="shared" si="24"/>
        <v>61433.33668510116</v>
      </c>
      <c r="I115" s="33">
        <f t="shared" si="25"/>
        <v>936.87508794560677</v>
      </c>
      <c r="J115" s="33">
        <f t="shared" si="26"/>
        <v>93749.332671250377</v>
      </c>
      <c r="K115" s="33">
        <f t="shared" si="27"/>
        <v>215550.66732874946</v>
      </c>
      <c r="L115" s="67"/>
    </row>
    <row r="116" spans="5:12" x14ac:dyDescent="0.25">
      <c r="E116" s="63">
        <v>113</v>
      </c>
      <c r="F116" s="33">
        <f t="shared" si="19"/>
        <v>1385.5595478245673</v>
      </c>
      <c r="G116" s="33">
        <f t="shared" si="20"/>
        <v>446.74272555043365</v>
      </c>
      <c r="H116" s="33">
        <f t="shared" si="24"/>
        <v>61880.079410651597</v>
      </c>
      <c r="I116" s="33">
        <f t="shared" si="25"/>
        <v>938.81682227413364</v>
      </c>
      <c r="J116" s="33">
        <f t="shared" si="26"/>
        <v>94688.149493524514</v>
      </c>
      <c r="K116" s="33">
        <f t="shared" si="27"/>
        <v>214611.85050647534</v>
      </c>
      <c r="L116" s="67"/>
    </row>
    <row r="117" spans="5:12" x14ac:dyDescent="0.25">
      <c r="E117" s="63">
        <v>114</v>
      </c>
      <c r="F117" s="33">
        <f t="shared" si="19"/>
        <v>1385.5595478245673</v>
      </c>
      <c r="G117" s="33">
        <f t="shared" si="20"/>
        <v>444.79696685168801</v>
      </c>
      <c r="H117" s="33">
        <f t="shared" si="24"/>
        <v>62324.876377503286</v>
      </c>
      <c r="I117" s="33">
        <f t="shared" si="25"/>
        <v>940.76258097287928</v>
      </c>
      <c r="J117" s="33">
        <f t="shared" si="26"/>
        <v>95628.912074497392</v>
      </c>
      <c r="K117" s="33">
        <f t="shared" si="27"/>
        <v>213671.08792550245</v>
      </c>
      <c r="L117" s="67"/>
    </row>
    <row r="118" spans="5:12" x14ac:dyDescent="0.25">
      <c r="E118" s="63">
        <v>115</v>
      </c>
      <c r="F118" s="33">
        <f t="shared" si="19"/>
        <v>1385.5595478245673</v>
      </c>
      <c r="G118" s="33">
        <f t="shared" si="20"/>
        <v>442.84717544195559</v>
      </c>
      <c r="H118" s="33">
        <f t="shared" si="24"/>
        <v>62767.723552945245</v>
      </c>
      <c r="I118" s="33">
        <f t="shared" si="25"/>
        <v>942.71237238261165</v>
      </c>
      <c r="J118" s="33">
        <f t="shared" si="26"/>
        <v>96571.62444688</v>
      </c>
      <c r="K118" s="33">
        <f t="shared" si="27"/>
        <v>212728.37555311984</v>
      </c>
      <c r="L118" s="67"/>
    </row>
    <row r="119" spans="5:12" x14ac:dyDescent="0.25">
      <c r="E119" s="63">
        <v>116</v>
      </c>
      <c r="F119" s="33">
        <f t="shared" si="19"/>
        <v>1385.5595478245673</v>
      </c>
      <c r="G119" s="33">
        <f t="shared" si="20"/>
        <v>440.89334296318157</v>
      </c>
      <c r="H119" s="33">
        <f t="shared" si="24"/>
        <v>63208.616895908424</v>
      </c>
      <c r="I119" s="33">
        <f t="shared" si="25"/>
        <v>944.66620486138572</v>
      </c>
      <c r="J119" s="33">
        <f t="shared" si="26"/>
        <v>97516.290651741379</v>
      </c>
      <c r="K119" s="33">
        <f t="shared" si="27"/>
        <v>211783.70934825845</v>
      </c>
      <c r="L119" s="67"/>
    </row>
    <row r="120" spans="5:12" x14ac:dyDescent="0.25">
      <c r="E120" s="63">
        <v>117</v>
      </c>
      <c r="F120" s="33">
        <f t="shared" si="19"/>
        <v>1385.5595478245673</v>
      </c>
      <c r="G120" s="33">
        <f t="shared" si="20"/>
        <v>438.93546103998847</v>
      </c>
      <c r="H120" s="33">
        <f t="shared" si="24"/>
        <v>63647.552356948414</v>
      </c>
      <c r="I120" s="33">
        <f t="shared" si="25"/>
        <v>946.62408678457882</v>
      </c>
      <c r="J120" s="33">
        <f t="shared" si="26"/>
        <v>98462.914738525957</v>
      </c>
      <c r="K120" s="33">
        <f t="shared" si="27"/>
        <v>210837.08526147387</v>
      </c>
      <c r="L120" s="67"/>
    </row>
    <row r="121" spans="5:12" x14ac:dyDescent="0.25">
      <c r="E121" s="63">
        <v>118</v>
      </c>
      <c r="F121" s="33">
        <f t="shared" si="19"/>
        <v>1385.5595478245673</v>
      </c>
      <c r="G121" s="33">
        <f t="shared" si="20"/>
        <v>436.97352127964041</v>
      </c>
      <c r="H121" s="33">
        <f t="shared" si="24"/>
        <v>64084.525878228058</v>
      </c>
      <c r="I121" s="33">
        <f t="shared" si="25"/>
        <v>948.58602654492688</v>
      </c>
      <c r="J121" s="33">
        <f t="shared" si="26"/>
        <v>99411.500765070887</v>
      </c>
      <c r="K121" s="33">
        <f t="shared" si="27"/>
        <v>209888.49923492895</v>
      </c>
      <c r="L121" s="67"/>
    </row>
    <row r="122" spans="5:12" x14ac:dyDescent="0.25">
      <c r="E122" s="63">
        <v>119</v>
      </c>
      <c r="F122" s="33">
        <f t="shared" si="19"/>
        <v>1385.5595478245673</v>
      </c>
      <c r="G122" s="33">
        <f t="shared" si="20"/>
        <v>435.00751527200691</v>
      </c>
      <c r="H122" s="33">
        <f t="shared" si="24"/>
        <v>64519.533393500067</v>
      </c>
      <c r="I122" s="33">
        <f t="shared" si="25"/>
        <v>950.55203255256038</v>
      </c>
      <c r="J122" s="33">
        <f t="shared" si="26"/>
        <v>100362.05279762344</v>
      </c>
      <c r="K122" s="33">
        <f t="shared" si="27"/>
        <v>208937.94720237638</v>
      </c>
      <c r="L122" s="67"/>
    </row>
    <row r="123" spans="5:12" x14ac:dyDescent="0.25">
      <c r="E123" s="63">
        <v>120</v>
      </c>
      <c r="F123" s="33">
        <f t="shared" si="19"/>
        <v>1385.5595478245673</v>
      </c>
      <c r="G123" s="33">
        <f t="shared" si="20"/>
        <v>433.03743458952692</v>
      </c>
      <c r="H123" s="33">
        <f t="shared" si="24"/>
        <v>64952.570828089592</v>
      </c>
      <c r="I123" s="33">
        <f t="shared" si="25"/>
        <v>952.52211323504036</v>
      </c>
      <c r="J123" s="33">
        <f t="shared" si="26"/>
        <v>101314.57491085849</v>
      </c>
      <c r="K123" s="33">
        <f t="shared" si="27"/>
        <v>207985.42508914135</v>
      </c>
      <c r="L123" s="33">
        <f t="shared" ref="L123" si="29">K123</f>
        <v>207985.42508914135</v>
      </c>
    </row>
    <row r="124" spans="5:12" x14ac:dyDescent="0.25">
      <c r="E124" s="63">
        <v>121</v>
      </c>
      <c r="F124" s="33">
        <f t="shared" si="19"/>
        <v>1385.5595478245673</v>
      </c>
      <c r="G124" s="33">
        <f t="shared" si="20"/>
        <v>431.06327078717288</v>
      </c>
      <c r="H124" s="33">
        <f t="shared" si="24"/>
        <v>65383.634098876762</v>
      </c>
      <c r="I124" s="33">
        <f t="shared" si="25"/>
        <v>954.49627703739441</v>
      </c>
      <c r="J124" s="33">
        <f t="shared" si="26"/>
        <v>102269.07118789588</v>
      </c>
      <c r="K124" s="33">
        <f t="shared" si="27"/>
        <v>207030.92881210396</v>
      </c>
      <c r="L124" s="67"/>
    </row>
    <row r="125" spans="5:12" x14ac:dyDescent="0.25">
      <c r="E125" s="63">
        <v>122</v>
      </c>
      <c r="F125" s="33">
        <f t="shared" si="19"/>
        <v>1385.5595478245673</v>
      </c>
      <c r="G125" s="33">
        <f t="shared" si="20"/>
        <v>429.08501540241417</v>
      </c>
      <c r="H125" s="33">
        <f t="shared" si="24"/>
        <v>65812.719114279171</v>
      </c>
      <c r="I125" s="33">
        <f t="shared" si="25"/>
        <v>956.47453242215306</v>
      </c>
      <c r="J125" s="33">
        <f t="shared" si="26"/>
        <v>103225.54572031804</v>
      </c>
      <c r="K125" s="33">
        <f t="shared" si="27"/>
        <v>206074.45427968181</v>
      </c>
      <c r="L125" s="67"/>
    </row>
    <row r="126" spans="5:12" x14ac:dyDescent="0.25">
      <c r="E126" s="63">
        <v>123</v>
      </c>
      <c r="F126" s="33">
        <f t="shared" si="19"/>
        <v>1385.5595478245673</v>
      </c>
      <c r="G126" s="33">
        <f t="shared" si="20"/>
        <v>427.10265995518125</v>
      </c>
      <c r="H126" s="33">
        <f t="shared" si="24"/>
        <v>66239.821774234355</v>
      </c>
      <c r="I126" s="33">
        <f t="shared" si="25"/>
        <v>958.45688786938604</v>
      </c>
      <c r="J126" s="33">
        <f t="shared" si="26"/>
        <v>104184.00260818742</v>
      </c>
      <c r="K126" s="33">
        <f t="shared" si="27"/>
        <v>205115.99739181242</v>
      </c>
      <c r="L126" s="67"/>
    </row>
    <row r="127" spans="5:12" x14ac:dyDescent="0.25">
      <c r="E127" s="63">
        <v>124</v>
      </c>
      <c r="F127" s="33">
        <f t="shared" si="19"/>
        <v>1385.5595478245673</v>
      </c>
      <c r="G127" s="33">
        <f t="shared" si="20"/>
        <v>425.11619594782883</v>
      </c>
      <c r="H127" s="33">
        <f t="shared" si="24"/>
        <v>66664.937970182189</v>
      </c>
      <c r="I127" s="33">
        <f t="shared" si="25"/>
        <v>960.44335187673846</v>
      </c>
      <c r="J127" s="33">
        <f t="shared" si="26"/>
        <v>105144.44596006416</v>
      </c>
      <c r="K127" s="33">
        <f t="shared" si="27"/>
        <v>204155.55403993567</v>
      </c>
      <c r="L127" s="67"/>
    </row>
    <row r="128" spans="5:12" x14ac:dyDescent="0.25">
      <c r="E128" s="63">
        <v>125</v>
      </c>
      <c r="F128" s="33">
        <f t="shared" si="19"/>
        <v>1385.5595478245673</v>
      </c>
      <c r="G128" s="33">
        <f t="shared" si="20"/>
        <v>423.12561486509986</v>
      </c>
      <c r="H128" s="33">
        <f t="shared" si="24"/>
        <v>67088.06358504729</v>
      </c>
      <c r="I128" s="33">
        <f t="shared" si="25"/>
        <v>962.43393295946748</v>
      </c>
      <c r="J128" s="33">
        <f t="shared" si="26"/>
        <v>106106.87989302362</v>
      </c>
      <c r="K128" s="33">
        <f t="shared" si="27"/>
        <v>203193.12010697619</v>
      </c>
      <c r="L128" s="67"/>
    </row>
    <row r="129" spans="5:12" x14ac:dyDescent="0.25">
      <c r="E129" s="63">
        <v>126</v>
      </c>
      <c r="F129" s="33">
        <f t="shared" si="19"/>
        <v>1385.5595478245673</v>
      </c>
      <c r="G129" s="33">
        <f t="shared" si="20"/>
        <v>421.13090817408886</v>
      </c>
      <c r="H129" s="33">
        <f t="shared" si="24"/>
        <v>67509.194493221381</v>
      </c>
      <c r="I129" s="33">
        <f t="shared" si="25"/>
        <v>964.42863965047843</v>
      </c>
      <c r="J129" s="33">
        <f t="shared" si="26"/>
        <v>107071.3085326741</v>
      </c>
      <c r="K129" s="33">
        <f t="shared" si="27"/>
        <v>202228.6914673257</v>
      </c>
      <c r="L129" s="67"/>
    </row>
    <row r="130" spans="5:12" x14ac:dyDescent="0.25">
      <c r="E130" s="63">
        <v>127</v>
      </c>
      <c r="F130" s="33">
        <f t="shared" si="19"/>
        <v>1385.5595478245673</v>
      </c>
      <c r="G130" s="33">
        <f t="shared" si="20"/>
        <v>419.13206732420531</v>
      </c>
      <c r="H130" s="33">
        <f t="shared" si="24"/>
        <v>67928.326560545582</v>
      </c>
      <c r="I130" s="33">
        <f t="shared" si="25"/>
        <v>966.42748050036198</v>
      </c>
      <c r="J130" s="33">
        <f t="shared" si="26"/>
        <v>108037.73601317446</v>
      </c>
      <c r="K130" s="33">
        <f t="shared" si="27"/>
        <v>201262.26398682533</v>
      </c>
      <c r="L130" s="67"/>
    </row>
    <row r="131" spans="5:12" x14ac:dyDescent="0.25">
      <c r="E131" s="63">
        <v>128</v>
      </c>
      <c r="F131" s="33">
        <f t="shared" si="19"/>
        <v>1385.5595478245673</v>
      </c>
      <c r="G131" s="33">
        <f t="shared" si="20"/>
        <v>417.12908374713714</v>
      </c>
      <c r="H131" s="33">
        <f t="shared" si="24"/>
        <v>68345.455644292713</v>
      </c>
      <c r="I131" s="33">
        <f t="shared" si="25"/>
        <v>968.43046407743009</v>
      </c>
      <c r="J131" s="33">
        <f t="shared" si="26"/>
        <v>109006.1664772519</v>
      </c>
      <c r="K131" s="33">
        <f t="shared" si="27"/>
        <v>200293.83352274791</v>
      </c>
      <c r="L131" s="67"/>
    </row>
    <row r="132" spans="5:12" x14ac:dyDescent="0.25">
      <c r="E132" s="63">
        <v>129</v>
      </c>
      <c r="F132" s="33">
        <f t="shared" ref="F132:F195" si="30">VERSEMENT_MENSUEL</f>
        <v>1385.5595478245673</v>
      </c>
      <c r="G132" s="33">
        <f t="shared" ref="G132:G195" si="31">K131*INTERET_MOIS</f>
        <v>415.12194885681379</v>
      </c>
      <c r="H132" s="33">
        <f t="shared" si="24"/>
        <v>68760.57759314953</v>
      </c>
      <c r="I132" s="33">
        <f t="shared" si="25"/>
        <v>970.4375989677535</v>
      </c>
      <c r="J132" s="33">
        <f t="shared" si="26"/>
        <v>109976.60407621965</v>
      </c>
      <c r="K132" s="33">
        <f t="shared" si="27"/>
        <v>199323.39592378016</v>
      </c>
      <c r="L132" s="67"/>
    </row>
    <row r="133" spans="5:12" x14ac:dyDescent="0.25">
      <c r="E133" s="63">
        <v>130</v>
      </c>
      <c r="F133" s="33">
        <f t="shared" si="30"/>
        <v>1385.5595478245673</v>
      </c>
      <c r="G133" s="33">
        <f t="shared" si="31"/>
        <v>413.11065404936949</v>
      </c>
      <c r="H133" s="33">
        <f t="shared" si="24"/>
        <v>69173.688247198894</v>
      </c>
      <c r="I133" s="33">
        <f t="shared" si="25"/>
        <v>972.4488937751978</v>
      </c>
      <c r="J133" s="33">
        <f t="shared" si="26"/>
        <v>110949.05296999485</v>
      </c>
      <c r="K133" s="33">
        <f t="shared" si="27"/>
        <v>198350.94703000496</v>
      </c>
      <c r="L133" s="67"/>
    </row>
    <row r="134" spans="5:12" x14ac:dyDescent="0.25">
      <c r="E134" s="63">
        <v>131</v>
      </c>
      <c r="F134" s="33">
        <f t="shared" si="30"/>
        <v>1385.5595478245673</v>
      </c>
      <c r="G134" s="33">
        <f t="shared" si="31"/>
        <v>411.09519070310637</v>
      </c>
      <c r="H134" s="33">
        <f t="shared" si="24"/>
        <v>69584.783437902006</v>
      </c>
      <c r="I134" s="33">
        <f t="shared" si="25"/>
        <v>974.46435712146092</v>
      </c>
      <c r="J134" s="33">
        <f t="shared" si="26"/>
        <v>111923.51732711631</v>
      </c>
      <c r="K134" s="33">
        <f t="shared" si="27"/>
        <v>197376.48267288349</v>
      </c>
      <c r="L134" s="67"/>
    </row>
    <row r="135" spans="5:12" x14ac:dyDescent="0.25">
      <c r="E135" s="63">
        <v>132</v>
      </c>
      <c r="F135" s="33">
        <f t="shared" si="30"/>
        <v>1385.5595478245673</v>
      </c>
      <c r="G135" s="33">
        <f t="shared" si="31"/>
        <v>409.07555017845777</v>
      </c>
      <c r="H135" s="33">
        <f t="shared" si="24"/>
        <v>69993.858988080465</v>
      </c>
      <c r="I135" s="33">
        <f t="shared" si="25"/>
        <v>976.48399764610951</v>
      </c>
      <c r="J135" s="33">
        <f t="shared" si="26"/>
        <v>112900.00132476242</v>
      </c>
      <c r="K135" s="33">
        <f t="shared" si="27"/>
        <v>196399.99867523738</v>
      </c>
      <c r="L135" s="33">
        <f t="shared" ref="L135" si="32">K135</f>
        <v>196399.99867523738</v>
      </c>
    </row>
    <row r="136" spans="5:12" x14ac:dyDescent="0.25">
      <c r="E136" s="63">
        <v>133</v>
      </c>
      <c r="F136" s="33">
        <f t="shared" si="30"/>
        <v>1385.5595478245673</v>
      </c>
      <c r="G136" s="33">
        <f t="shared" si="31"/>
        <v>407.05172381795074</v>
      </c>
      <c r="H136" s="33">
        <f t="shared" si="24"/>
        <v>70400.91071189841</v>
      </c>
      <c r="I136" s="33">
        <f t="shared" si="25"/>
        <v>978.5078240066166</v>
      </c>
      <c r="J136" s="33">
        <f t="shared" si="26"/>
        <v>113878.50914876904</v>
      </c>
      <c r="K136" s="33">
        <f t="shared" si="27"/>
        <v>195421.49085123077</v>
      </c>
      <c r="L136" s="67"/>
    </row>
    <row r="137" spans="5:12" x14ac:dyDescent="0.25">
      <c r="E137" s="63">
        <v>134</v>
      </c>
      <c r="F137" s="33">
        <f t="shared" si="30"/>
        <v>1385.5595478245673</v>
      </c>
      <c r="G137" s="33">
        <f t="shared" si="31"/>
        <v>405.02370294616924</v>
      </c>
      <c r="H137" s="33">
        <f t="shared" si="24"/>
        <v>70805.934414844582</v>
      </c>
      <c r="I137" s="33">
        <f t="shared" si="25"/>
        <v>980.53584487839805</v>
      </c>
      <c r="J137" s="33">
        <f t="shared" si="26"/>
        <v>114859.04499364743</v>
      </c>
      <c r="K137" s="33">
        <f t="shared" si="27"/>
        <v>194440.95500635236</v>
      </c>
      <c r="L137" s="67"/>
    </row>
    <row r="138" spans="5:12" x14ac:dyDescent="0.25">
      <c r="E138" s="63">
        <v>135</v>
      </c>
      <c r="F138" s="33">
        <f t="shared" si="30"/>
        <v>1385.5595478245673</v>
      </c>
      <c r="G138" s="33">
        <f t="shared" si="31"/>
        <v>402.99147886971679</v>
      </c>
      <c r="H138" s="33">
        <f t="shared" si="24"/>
        <v>71208.925893714302</v>
      </c>
      <c r="I138" s="33">
        <f t="shared" si="25"/>
        <v>982.56806895485056</v>
      </c>
      <c r="J138" s="33">
        <f t="shared" si="26"/>
        <v>115841.61306260228</v>
      </c>
      <c r="K138" s="33">
        <f t="shared" si="27"/>
        <v>193458.3869373975</v>
      </c>
      <c r="L138" s="67"/>
    </row>
    <row r="139" spans="5:12" x14ac:dyDescent="0.25">
      <c r="E139" s="63">
        <v>136</v>
      </c>
      <c r="F139" s="33">
        <f t="shared" si="30"/>
        <v>1385.5595478245673</v>
      </c>
      <c r="G139" s="33">
        <f t="shared" si="31"/>
        <v>400.95504287717938</v>
      </c>
      <c r="H139" s="33">
        <f t="shared" si="24"/>
        <v>71609.880936591479</v>
      </c>
      <c r="I139" s="33">
        <f t="shared" si="25"/>
        <v>984.60450494738791</v>
      </c>
      <c r="J139" s="33">
        <f t="shared" si="26"/>
        <v>116826.21756754967</v>
      </c>
      <c r="K139" s="33">
        <f t="shared" si="27"/>
        <v>192473.78243245013</v>
      </c>
      <c r="L139" s="67"/>
    </row>
    <row r="140" spans="5:12" x14ac:dyDescent="0.25">
      <c r="E140" s="63">
        <v>137</v>
      </c>
      <c r="F140" s="33">
        <f t="shared" si="30"/>
        <v>1385.5595478245673</v>
      </c>
      <c r="G140" s="33">
        <f t="shared" si="31"/>
        <v>398.91438623908806</v>
      </c>
      <c r="H140" s="33">
        <f t="shared" si="24"/>
        <v>72008.795322830571</v>
      </c>
      <c r="I140" s="33">
        <f t="shared" si="25"/>
        <v>986.64516158547917</v>
      </c>
      <c r="J140" s="33">
        <f t="shared" si="26"/>
        <v>117812.86272913514</v>
      </c>
      <c r="K140" s="33">
        <f t="shared" si="27"/>
        <v>191487.13727086465</v>
      </c>
      <c r="L140" s="67"/>
    </row>
    <row r="141" spans="5:12" x14ac:dyDescent="0.25">
      <c r="E141" s="63">
        <v>138</v>
      </c>
      <c r="F141" s="33">
        <f t="shared" si="30"/>
        <v>1385.5595478245673</v>
      </c>
      <c r="G141" s="33">
        <f t="shared" si="31"/>
        <v>396.86950020788134</v>
      </c>
      <c r="H141" s="33">
        <f t="shared" si="24"/>
        <v>72405.664823038445</v>
      </c>
      <c r="I141" s="33">
        <f t="shared" si="25"/>
        <v>988.69004761668589</v>
      </c>
      <c r="J141" s="33">
        <f t="shared" si="26"/>
        <v>118801.55277675184</v>
      </c>
      <c r="K141" s="33">
        <f t="shared" si="27"/>
        <v>190498.44722324796</v>
      </c>
      <c r="L141" s="67"/>
    </row>
    <row r="142" spans="5:12" x14ac:dyDescent="0.25">
      <c r="E142" s="63">
        <v>139</v>
      </c>
      <c r="F142" s="33">
        <f t="shared" si="30"/>
        <v>1385.5595478245673</v>
      </c>
      <c r="G142" s="33">
        <f t="shared" si="31"/>
        <v>394.82037601786794</v>
      </c>
      <c r="H142" s="33">
        <f t="shared" si="24"/>
        <v>72800.485199056318</v>
      </c>
      <c r="I142" s="33">
        <f t="shared" si="25"/>
        <v>990.73917180669935</v>
      </c>
      <c r="J142" s="33">
        <f t="shared" si="26"/>
        <v>119792.29194855853</v>
      </c>
      <c r="K142" s="33">
        <f t="shared" si="27"/>
        <v>189507.70805144127</v>
      </c>
      <c r="L142" s="67"/>
    </row>
    <row r="143" spans="5:12" x14ac:dyDescent="0.25">
      <c r="E143" s="63">
        <v>140</v>
      </c>
      <c r="F143" s="33">
        <f t="shared" si="30"/>
        <v>1385.5595478245673</v>
      </c>
      <c r="G143" s="33">
        <f t="shared" si="31"/>
        <v>392.76700488518918</v>
      </c>
      <c r="H143" s="33">
        <f t="shared" si="24"/>
        <v>73193.252203941505</v>
      </c>
      <c r="I143" s="33">
        <f t="shared" si="25"/>
        <v>992.79254293937811</v>
      </c>
      <c r="J143" s="33">
        <f t="shared" si="26"/>
        <v>120785.08449149791</v>
      </c>
      <c r="K143" s="33">
        <f t="shared" si="27"/>
        <v>188514.9155085019</v>
      </c>
      <c r="L143" s="67"/>
    </row>
    <row r="144" spans="5:12" x14ac:dyDescent="0.25">
      <c r="E144" s="63">
        <v>141</v>
      </c>
      <c r="F144" s="33">
        <f t="shared" si="30"/>
        <v>1385.5595478245673</v>
      </c>
      <c r="G144" s="33">
        <f t="shared" si="31"/>
        <v>390.70937800778114</v>
      </c>
      <c r="H144" s="33">
        <f t="shared" si="24"/>
        <v>73583.96158194929</v>
      </c>
      <c r="I144" s="33">
        <f t="shared" si="25"/>
        <v>994.85016981678609</v>
      </c>
      <c r="J144" s="33">
        <f t="shared" si="26"/>
        <v>121779.93466131469</v>
      </c>
      <c r="K144" s="33">
        <f t="shared" si="27"/>
        <v>187520.06533868512</v>
      </c>
      <c r="L144" s="67"/>
    </row>
    <row r="145" spans="5:12" x14ac:dyDescent="0.25">
      <c r="E145" s="63">
        <v>142</v>
      </c>
      <c r="F145" s="33">
        <f t="shared" si="30"/>
        <v>1385.5595478245673</v>
      </c>
      <c r="G145" s="33">
        <f t="shared" si="31"/>
        <v>388.64748656533703</v>
      </c>
      <c r="H145" s="33">
        <f t="shared" si="24"/>
        <v>73972.609068514634</v>
      </c>
      <c r="I145" s="33">
        <f t="shared" si="25"/>
        <v>996.91206125923031</v>
      </c>
      <c r="J145" s="33">
        <f t="shared" si="26"/>
        <v>122776.84672257392</v>
      </c>
      <c r="K145" s="33">
        <f t="shared" si="27"/>
        <v>186523.15327742588</v>
      </c>
      <c r="L145" s="67"/>
    </row>
    <row r="146" spans="5:12" x14ac:dyDescent="0.25">
      <c r="E146" s="63">
        <v>143</v>
      </c>
      <c r="F146" s="33">
        <f t="shared" si="30"/>
        <v>1385.5595478245673</v>
      </c>
      <c r="G146" s="33">
        <f t="shared" si="31"/>
        <v>386.58132171926951</v>
      </c>
      <c r="H146" s="33">
        <f t="shared" si="24"/>
        <v>74359.190390233896</v>
      </c>
      <c r="I146" s="33">
        <f t="shared" si="25"/>
        <v>998.97822610529784</v>
      </c>
      <c r="J146" s="33">
        <f t="shared" si="26"/>
        <v>123775.82494867922</v>
      </c>
      <c r="K146" s="33">
        <f t="shared" si="27"/>
        <v>185524.17505132058</v>
      </c>
      <c r="L146" s="67"/>
    </row>
    <row r="147" spans="5:12" x14ac:dyDescent="0.25">
      <c r="E147" s="63">
        <v>144</v>
      </c>
      <c r="F147" s="33">
        <f t="shared" si="30"/>
        <v>1385.5595478245673</v>
      </c>
      <c r="G147" s="33">
        <f t="shared" si="31"/>
        <v>384.51087461267275</v>
      </c>
      <c r="H147" s="33">
        <f t="shared" si="24"/>
        <v>74743.701264846575</v>
      </c>
      <c r="I147" s="33">
        <f t="shared" si="25"/>
        <v>1001.0486732118945</v>
      </c>
      <c r="J147" s="33">
        <f t="shared" si="26"/>
        <v>124776.87362189111</v>
      </c>
      <c r="K147" s="33">
        <f t="shared" si="27"/>
        <v>184523.12637810869</v>
      </c>
      <c r="L147" s="33">
        <f t="shared" ref="L147" si="33">K147</f>
        <v>184523.12637810869</v>
      </c>
    </row>
    <row r="148" spans="5:12" x14ac:dyDescent="0.25">
      <c r="E148" s="63">
        <v>145</v>
      </c>
      <c r="F148" s="33">
        <f t="shared" si="30"/>
        <v>1385.5595478245673</v>
      </c>
      <c r="G148" s="33">
        <f t="shared" si="31"/>
        <v>382.4361363702842</v>
      </c>
      <c r="H148" s="33">
        <f t="shared" si="24"/>
        <v>75126.137401216853</v>
      </c>
      <c r="I148" s="33">
        <f t="shared" si="25"/>
        <v>1003.1234114542831</v>
      </c>
      <c r="J148" s="33">
        <f t="shared" si="26"/>
        <v>125779.9970333454</v>
      </c>
      <c r="K148" s="33">
        <f t="shared" si="27"/>
        <v>183520.0029666544</v>
      </c>
      <c r="L148" s="67"/>
    </row>
    <row r="149" spans="5:12" x14ac:dyDescent="0.25">
      <c r="E149" s="63">
        <v>146</v>
      </c>
      <c r="F149" s="33">
        <f t="shared" si="30"/>
        <v>1385.5595478245673</v>
      </c>
      <c r="G149" s="33">
        <f t="shared" si="31"/>
        <v>380.3570980984469</v>
      </c>
      <c r="H149" s="33">
        <f t="shared" si="24"/>
        <v>75506.494499315304</v>
      </c>
      <c r="I149" s="33">
        <f t="shared" si="25"/>
        <v>1005.2024497261204</v>
      </c>
      <c r="J149" s="33">
        <f t="shared" si="26"/>
        <v>126785.19948307151</v>
      </c>
      <c r="K149" s="33">
        <f t="shared" si="27"/>
        <v>182514.80051692828</v>
      </c>
      <c r="L149" s="67"/>
    </row>
    <row r="150" spans="5:12" x14ac:dyDescent="0.25">
      <c r="E150" s="63">
        <v>147</v>
      </c>
      <c r="F150" s="33">
        <f t="shared" si="30"/>
        <v>1385.5595478245673</v>
      </c>
      <c r="G150" s="33">
        <f t="shared" si="31"/>
        <v>378.27375088507125</v>
      </c>
      <c r="H150" s="33">
        <f t="shared" si="24"/>
        <v>75884.768250200374</v>
      </c>
      <c r="I150" s="33">
        <f t="shared" si="25"/>
        <v>1007.2857969394961</v>
      </c>
      <c r="J150" s="33">
        <f t="shared" si="26"/>
        <v>127792.48528001101</v>
      </c>
      <c r="K150" s="33">
        <f t="shared" si="27"/>
        <v>181507.5147199888</v>
      </c>
      <c r="L150" s="67"/>
    </row>
    <row r="151" spans="5:12" x14ac:dyDescent="0.25">
      <c r="E151" s="63">
        <v>148</v>
      </c>
      <c r="F151" s="33">
        <f t="shared" si="30"/>
        <v>1385.5595478245673</v>
      </c>
      <c r="G151" s="33">
        <f t="shared" si="31"/>
        <v>376.18608579959658</v>
      </c>
      <c r="H151" s="33">
        <f t="shared" si="24"/>
        <v>76260.954335999966</v>
      </c>
      <c r="I151" s="33">
        <f t="shared" si="25"/>
        <v>1009.3734620249706</v>
      </c>
      <c r="J151" s="33">
        <f t="shared" si="26"/>
        <v>128801.85874203598</v>
      </c>
      <c r="K151" s="33">
        <f t="shared" si="27"/>
        <v>180498.14125796384</v>
      </c>
      <c r="L151" s="67"/>
    </row>
    <row r="152" spans="5:12" x14ac:dyDescent="0.25">
      <c r="E152" s="63">
        <v>149</v>
      </c>
      <c r="F152" s="33">
        <f t="shared" si="30"/>
        <v>1385.5595478245673</v>
      </c>
      <c r="G152" s="33">
        <f t="shared" si="31"/>
        <v>374.09409389295331</v>
      </c>
      <c r="H152" s="33">
        <f t="shared" si="24"/>
        <v>76635.048429892922</v>
      </c>
      <c r="I152" s="33">
        <f t="shared" si="25"/>
        <v>1011.465453931614</v>
      </c>
      <c r="J152" s="33">
        <f t="shared" si="26"/>
        <v>129813.32419596759</v>
      </c>
      <c r="K152" s="33">
        <f t="shared" si="27"/>
        <v>179486.67580403222</v>
      </c>
      <c r="L152" s="67"/>
    </row>
    <row r="153" spans="5:12" x14ac:dyDescent="0.25">
      <c r="E153" s="63">
        <v>150</v>
      </c>
      <c r="F153" s="33">
        <f t="shared" si="30"/>
        <v>1385.5595478245673</v>
      </c>
      <c r="G153" s="33">
        <f t="shared" si="31"/>
        <v>371.99776619752402</v>
      </c>
      <c r="H153" s="33">
        <f t="shared" si="24"/>
        <v>77007.04619609045</v>
      </c>
      <c r="I153" s="33">
        <f t="shared" si="25"/>
        <v>1013.5617816270433</v>
      </c>
      <c r="J153" s="33">
        <f t="shared" si="26"/>
        <v>130826.88597759463</v>
      </c>
      <c r="K153" s="33">
        <f t="shared" si="27"/>
        <v>178473.11402240518</v>
      </c>
      <c r="L153" s="67"/>
    </row>
    <row r="154" spans="5:12" x14ac:dyDescent="0.25">
      <c r="E154" s="63">
        <v>151</v>
      </c>
      <c r="F154" s="33">
        <f t="shared" si="30"/>
        <v>1385.5595478245673</v>
      </c>
      <c r="G154" s="33">
        <f t="shared" si="31"/>
        <v>369.89709372710564</v>
      </c>
      <c r="H154" s="33">
        <f t="shared" si="24"/>
        <v>77376.943289817558</v>
      </c>
      <c r="I154" s="33">
        <f t="shared" si="25"/>
        <v>1015.6624540974617</v>
      </c>
      <c r="J154" s="33">
        <f t="shared" si="26"/>
        <v>131842.54843169209</v>
      </c>
      <c r="K154" s="33">
        <f t="shared" si="27"/>
        <v>177457.4515683077</v>
      </c>
      <c r="L154" s="67"/>
    </row>
    <row r="155" spans="5:12" x14ac:dyDescent="0.25">
      <c r="E155" s="63">
        <v>152</v>
      </c>
      <c r="F155" s="33">
        <f t="shared" si="30"/>
        <v>1385.5595478245673</v>
      </c>
      <c r="G155" s="33">
        <f t="shared" si="31"/>
        <v>367.79206747687039</v>
      </c>
      <c r="H155" s="33">
        <f t="shared" si="24"/>
        <v>77744.735357294427</v>
      </c>
      <c r="I155" s="33">
        <f t="shared" si="25"/>
        <v>1017.7674803476968</v>
      </c>
      <c r="J155" s="33">
        <f t="shared" si="26"/>
        <v>132860.31591203978</v>
      </c>
      <c r="K155" s="33">
        <f t="shared" si="27"/>
        <v>176439.68408796002</v>
      </c>
      <c r="L155" s="67"/>
    </row>
    <row r="156" spans="5:12" x14ac:dyDescent="0.25">
      <c r="E156" s="63">
        <v>153</v>
      </c>
      <c r="F156" s="33">
        <f t="shared" si="30"/>
        <v>1385.5595478245673</v>
      </c>
      <c r="G156" s="33">
        <f t="shared" si="31"/>
        <v>365.6826784233275</v>
      </c>
      <c r="H156" s="33">
        <f t="shared" si="24"/>
        <v>78110.418035717754</v>
      </c>
      <c r="I156" s="33">
        <f t="shared" si="25"/>
        <v>1019.8768694012398</v>
      </c>
      <c r="J156" s="33">
        <f t="shared" si="26"/>
        <v>133880.19278144103</v>
      </c>
      <c r="K156" s="33">
        <f t="shared" si="27"/>
        <v>175419.80721855877</v>
      </c>
      <c r="L156" s="67"/>
    </row>
    <row r="157" spans="5:12" x14ac:dyDescent="0.25">
      <c r="E157" s="63">
        <v>154</v>
      </c>
      <c r="F157" s="33">
        <f t="shared" si="30"/>
        <v>1385.5595478245673</v>
      </c>
      <c r="G157" s="33">
        <f t="shared" si="31"/>
        <v>363.56891752428442</v>
      </c>
      <c r="H157" s="33">
        <f t="shared" si="24"/>
        <v>78473.986953242042</v>
      </c>
      <c r="I157" s="33">
        <f t="shared" si="25"/>
        <v>1021.9906303002829</v>
      </c>
      <c r="J157" s="33">
        <f t="shared" si="26"/>
        <v>134902.18341174131</v>
      </c>
      <c r="K157" s="33">
        <f t="shared" si="27"/>
        <v>174397.81658825849</v>
      </c>
      <c r="L157" s="67"/>
    </row>
    <row r="158" spans="5:12" x14ac:dyDescent="0.25">
      <c r="E158" s="63">
        <v>155</v>
      </c>
      <c r="F158" s="33">
        <f t="shared" si="30"/>
        <v>1385.5595478245673</v>
      </c>
      <c r="G158" s="33">
        <f t="shared" si="31"/>
        <v>361.45077571880802</v>
      </c>
      <c r="H158" s="33">
        <f t="shared" si="24"/>
        <v>78835.437728960853</v>
      </c>
      <c r="I158" s="33">
        <f t="shared" si="25"/>
        <v>1024.1087721057593</v>
      </c>
      <c r="J158" s="33">
        <f t="shared" si="26"/>
        <v>135926.29218384708</v>
      </c>
      <c r="K158" s="33">
        <f t="shared" si="27"/>
        <v>173373.70781615272</v>
      </c>
      <c r="L158" s="67"/>
    </row>
    <row r="159" spans="5:12" x14ac:dyDescent="0.25">
      <c r="E159" s="63">
        <v>156</v>
      </c>
      <c r="F159" s="33">
        <f t="shared" si="30"/>
        <v>1385.5595478245673</v>
      </c>
      <c r="G159" s="33">
        <f t="shared" si="31"/>
        <v>359.32824392718589</v>
      </c>
      <c r="H159" s="33">
        <f t="shared" si="24"/>
        <v>79194.765972888039</v>
      </c>
      <c r="I159" s="33">
        <f t="shared" si="25"/>
        <v>1026.2313038973814</v>
      </c>
      <c r="J159" s="33">
        <f t="shared" si="26"/>
        <v>136952.52348774447</v>
      </c>
      <c r="K159" s="33">
        <f t="shared" si="27"/>
        <v>172347.47651225532</v>
      </c>
      <c r="L159" s="33">
        <f t="shared" ref="L159" si="34">K159</f>
        <v>172347.47651225532</v>
      </c>
    </row>
    <row r="160" spans="5:12" x14ac:dyDescent="0.25">
      <c r="E160" s="63">
        <v>157</v>
      </c>
      <c r="F160" s="33">
        <f t="shared" si="30"/>
        <v>1385.5595478245673</v>
      </c>
      <c r="G160" s="33">
        <f t="shared" si="31"/>
        <v>357.20131305088722</v>
      </c>
      <c r="H160" s="33">
        <f t="shared" si="24"/>
        <v>79551.967285938925</v>
      </c>
      <c r="I160" s="33">
        <f t="shared" si="25"/>
        <v>1028.3582347736801</v>
      </c>
      <c r="J160" s="33">
        <f t="shared" si="26"/>
        <v>137980.88172251816</v>
      </c>
      <c r="K160" s="33">
        <f t="shared" si="27"/>
        <v>171319.11827748164</v>
      </c>
      <c r="L160" s="67"/>
    </row>
    <row r="161" spans="5:12" x14ac:dyDescent="0.25">
      <c r="E161" s="63">
        <v>158</v>
      </c>
      <c r="F161" s="33">
        <f t="shared" si="30"/>
        <v>1385.5595478245673</v>
      </c>
      <c r="G161" s="33">
        <f t="shared" si="31"/>
        <v>355.06997397252405</v>
      </c>
      <c r="H161" s="33">
        <f t="shared" si="24"/>
        <v>79907.037259911449</v>
      </c>
      <c r="I161" s="33">
        <f t="shared" si="25"/>
        <v>1030.4895738520431</v>
      </c>
      <c r="J161" s="33">
        <f t="shared" si="26"/>
        <v>139011.3712963702</v>
      </c>
      <c r="K161" s="33">
        <f t="shared" si="27"/>
        <v>170288.6287036296</v>
      </c>
      <c r="L161" s="67"/>
    </row>
    <row r="162" spans="5:12" x14ac:dyDescent="0.25">
      <c r="E162" s="63">
        <v>159</v>
      </c>
      <c r="F162" s="33">
        <f t="shared" si="30"/>
        <v>1385.5595478245673</v>
      </c>
      <c r="G162" s="33">
        <f t="shared" si="31"/>
        <v>352.93421755581187</v>
      </c>
      <c r="H162" s="33">
        <f t="shared" si="24"/>
        <v>80259.971477467261</v>
      </c>
      <c r="I162" s="33">
        <f t="shared" si="25"/>
        <v>1032.6253302687555</v>
      </c>
      <c r="J162" s="33">
        <f t="shared" si="26"/>
        <v>140043.99662663895</v>
      </c>
      <c r="K162" s="33">
        <f t="shared" si="27"/>
        <v>169256.00337336084</v>
      </c>
      <c r="L162" s="67"/>
    </row>
    <row r="163" spans="5:12" x14ac:dyDescent="0.25">
      <c r="E163" s="63">
        <v>160</v>
      </c>
      <c r="F163" s="33">
        <f t="shared" si="30"/>
        <v>1385.5595478245673</v>
      </c>
      <c r="G163" s="33">
        <f t="shared" si="31"/>
        <v>350.79403464553076</v>
      </c>
      <c r="H163" s="33">
        <f t="shared" si="24"/>
        <v>80610.76551211279</v>
      </c>
      <c r="I163" s="33">
        <f t="shared" si="25"/>
        <v>1034.7655131790366</v>
      </c>
      <c r="J163" s="33">
        <f t="shared" si="26"/>
        <v>141078.76213981799</v>
      </c>
      <c r="K163" s="33">
        <f t="shared" si="27"/>
        <v>168221.23786018181</v>
      </c>
      <c r="L163" s="67"/>
    </row>
    <row r="164" spans="5:12" x14ac:dyDescent="0.25">
      <c r="E164" s="63">
        <v>161</v>
      </c>
      <c r="F164" s="33">
        <f t="shared" si="30"/>
        <v>1385.5595478245673</v>
      </c>
      <c r="G164" s="33">
        <f t="shared" si="31"/>
        <v>348.6494160674859</v>
      </c>
      <c r="H164" s="33">
        <f t="shared" si="24"/>
        <v>80959.414928180282</v>
      </c>
      <c r="I164" s="33">
        <f t="shared" si="25"/>
        <v>1036.9101317570814</v>
      </c>
      <c r="J164" s="33">
        <f t="shared" si="26"/>
        <v>142115.67227157508</v>
      </c>
      <c r="K164" s="33">
        <f t="shared" si="27"/>
        <v>167184.32772842472</v>
      </c>
      <c r="L164" s="67"/>
    </row>
    <row r="165" spans="5:12" x14ac:dyDescent="0.25">
      <c r="E165" s="63">
        <v>162</v>
      </c>
      <c r="F165" s="33">
        <f t="shared" si="30"/>
        <v>1385.5595478245673</v>
      </c>
      <c r="G165" s="33">
        <f t="shared" si="31"/>
        <v>346.50035262846853</v>
      </c>
      <c r="H165" s="33">
        <f t="shared" si="24"/>
        <v>81305.915280808753</v>
      </c>
      <c r="I165" s="33">
        <f t="shared" si="25"/>
        <v>1039.0591951960987</v>
      </c>
      <c r="J165" s="33">
        <f t="shared" si="26"/>
        <v>143154.73146677119</v>
      </c>
      <c r="K165" s="33">
        <f t="shared" si="27"/>
        <v>166145.26853322861</v>
      </c>
      <c r="L165" s="67"/>
    </row>
    <row r="166" spans="5:12" x14ac:dyDescent="0.25">
      <c r="E166" s="63">
        <v>163</v>
      </c>
      <c r="F166" s="33">
        <f t="shared" si="30"/>
        <v>1385.5595478245673</v>
      </c>
      <c r="G166" s="33">
        <f t="shared" si="31"/>
        <v>344.34683511621614</v>
      </c>
      <c r="H166" s="33">
        <f t="shared" si="24"/>
        <v>81650.262115924968</v>
      </c>
      <c r="I166" s="33">
        <f t="shared" si="25"/>
        <v>1041.2127127083511</v>
      </c>
      <c r="J166" s="33">
        <f t="shared" si="26"/>
        <v>144195.94417947953</v>
      </c>
      <c r="K166" s="33">
        <f t="shared" si="27"/>
        <v>165104.05582052027</v>
      </c>
      <c r="L166" s="67"/>
    </row>
    <row r="167" spans="5:12" x14ac:dyDescent="0.25">
      <c r="E167" s="63">
        <v>164</v>
      </c>
      <c r="F167" s="33">
        <f t="shared" si="30"/>
        <v>1385.5595478245673</v>
      </c>
      <c r="G167" s="33">
        <f t="shared" si="31"/>
        <v>342.18885429937342</v>
      </c>
      <c r="H167" s="33">
        <f t="shared" si="24"/>
        <v>81992.450970224338</v>
      </c>
      <c r="I167" s="33">
        <f t="shared" si="25"/>
        <v>1043.3706935251939</v>
      </c>
      <c r="J167" s="33">
        <f t="shared" si="26"/>
        <v>145239.31487300471</v>
      </c>
      <c r="K167" s="33">
        <f t="shared" si="27"/>
        <v>164060.68512699509</v>
      </c>
      <c r="L167" s="67"/>
    </row>
    <row r="168" spans="5:12" x14ac:dyDescent="0.25">
      <c r="E168" s="63">
        <v>165</v>
      </c>
      <c r="F168" s="33">
        <f t="shared" si="30"/>
        <v>1385.5595478245673</v>
      </c>
      <c r="G168" s="33">
        <f t="shared" si="31"/>
        <v>340.02640092745236</v>
      </c>
      <c r="H168" s="33">
        <f t="shared" ref="H168:H231" si="35">H167+G168</f>
        <v>82332.477371151792</v>
      </c>
      <c r="I168" s="33">
        <f t="shared" ref="I168:I231" si="36">F168-G168</f>
        <v>1045.5331468971149</v>
      </c>
      <c r="J168" s="33">
        <f t="shared" ref="J168:J231" si="37">J167+I168</f>
        <v>146284.84801990184</v>
      </c>
      <c r="K168" s="33">
        <f t="shared" ref="K168:K231" si="38">K167-I168</f>
        <v>163015.15198009796</v>
      </c>
      <c r="L168" s="67"/>
    </row>
    <row r="169" spans="5:12" x14ac:dyDescent="0.25">
      <c r="E169" s="63">
        <v>166</v>
      </c>
      <c r="F169" s="33">
        <f t="shared" si="30"/>
        <v>1385.5595478245673</v>
      </c>
      <c r="G169" s="33">
        <f t="shared" si="31"/>
        <v>337.85946573079269</v>
      </c>
      <c r="H169" s="33">
        <f t="shared" si="35"/>
        <v>82670.33683688259</v>
      </c>
      <c r="I169" s="33">
        <f t="shared" si="36"/>
        <v>1047.7000820937747</v>
      </c>
      <c r="J169" s="33">
        <f t="shared" si="37"/>
        <v>147332.54810199561</v>
      </c>
      <c r="K169" s="33">
        <f t="shared" si="38"/>
        <v>161967.45189800419</v>
      </c>
      <c r="L169" s="67"/>
    </row>
    <row r="170" spans="5:12" x14ac:dyDescent="0.25">
      <c r="E170" s="63">
        <v>167</v>
      </c>
      <c r="F170" s="33">
        <f t="shared" si="30"/>
        <v>1385.5595478245673</v>
      </c>
      <c r="G170" s="33">
        <f t="shared" si="31"/>
        <v>335.68803942052233</v>
      </c>
      <c r="H170" s="33">
        <f t="shared" si="35"/>
        <v>83006.024876303112</v>
      </c>
      <c r="I170" s="33">
        <f t="shared" si="36"/>
        <v>1049.871508404045</v>
      </c>
      <c r="J170" s="33">
        <f t="shared" si="37"/>
        <v>148382.41961039964</v>
      </c>
      <c r="K170" s="33">
        <f t="shared" si="38"/>
        <v>160917.58038960013</v>
      </c>
      <c r="L170" s="67"/>
    </row>
    <row r="171" spans="5:12" x14ac:dyDescent="0.25">
      <c r="E171" s="63">
        <v>168</v>
      </c>
      <c r="F171" s="33">
        <f t="shared" si="30"/>
        <v>1385.5595478245673</v>
      </c>
      <c r="G171" s="33">
        <f t="shared" si="31"/>
        <v>333.51211268851722</v>
      </c>
      <c r="H171" s="33">
        <f t="shared" si="35"/>
        <v>83339.536988991633</v>
      </c>
      <c r="I171" s="33">
        <f t="shared" si="36"/>
        <v>1052.0474351360501</v>
      </c>
      <c r="J171" s="33">
        <f t="shared" si="37"/>
        <v>149434.46704553568</v>
      </c>
      <c r="K171" s="33">
        <f t="shared" si="38"/>
        <v>159865.53295446408</v>
      </c>
      <c r="L171" s="33">
        <f t="shared" ref="L171" si="39">K171</f>
        <v>159865.53295446408</v>
      </c>
    </row>
    <row r="172" spans="5:12" x14ac:dyDescent="0.25">
      <c r="E172" s="63">
        <v>169</v>
      </c>
      <c r="F172" s="33">
        <f t="shared" si="30"/>
        <v>1385.5595478245673</v>
      </c>
      <c r="G172" s="33">
        <f t="shared" si="31"/>
        <v>331.33167620736168</v>
      </c>
      <c r="H172" s="33">
        <f t="shared" si="35"/>
        <v>83670.868665198999</v>
      </c>
      <c r="I172" s="33">
        <f t="shared" si="36"/>
        <v>1054.2278716172057</v>
      </c>
      <c r="J172" s="33">
        <f t="shared" si="37"/>
        <v>150488.6949171529</v>
      </c>
      <c r="K172" s="33">
        <f t="shared" si="38"/>
        <v>158811.30508284687</v>
      </c>
      <c r="L172" s="67"/>
    </row>
    <row r="173" spans="5:12" x14ac:dyDescent="0.25">
      <c r="E173" s="63">
        <v>170</v>
      </c>
      <c r="F173" s="33">
        <f t="shared" si="30"/>
        <v>1385.5595478245673</v>
      </c>
      <c r="G173" s="33">
        <f t="shared" si="31"/>
        <v>329.14672063030844</v>
      </c>
      <c r="H173" s="33">
        <f t="shared" si="35"/>
        <v>84000.015385829305</v>
      </c>
      <c r="I173" s="33">
        <f t="shared" si="36"/>
        <v>1056.4128271942589</v>
      </c>
      <c r="J173" s="33">
        <f t="shared" si="37"/>
        <v>151545.10774434716</v>
      </c>
      <c r="K173" s="33">
        <f t="shared" si="38"/>
        <v>157754.89225565261</v>
      </c>
      <c r="L173" s="67"/>
    </row>
    <row r="174" spans="5:12" x14ac:dyDescent="0.25">
      <c r="E174" s="63">
        <v>171</v>
      </c>
      <c r="F174" s="33">
        <f t="shared" si="30"/>
        <v>1385.5595478245673</v>
      </c>
      <c r="G174" s="33">
        <f t="shared" si="31"/>
        <v>326.95723659123831</v>
      </c>
      <c r="H174" s="33">
        <f t="shared" si="35"/>
        <v>84326.972622420537</v>
      </c>
      <c r="I174" s="33">
        <f t="shared" si="36"/>
        <v>1058.6023112333289</v>
      </c>
      <c r="J174" s="33">
        <f t="shared" si="37"/>
        <v>152603.71005558048</v>
      </c>
      <c r="K174" s="33">
        <f t="shared" si="38"/>
        <v>156696.28994441929</v>
      </c>
      <c r="L174" s="67"/>
    </row>
    <row r="175" spans="5:12" x14ac:dyDescent="0.25">
      <c r="E175" s="63">
        <v>172</v>
      </c>
      <c r="F175" s="33">
        <f t="shared" si="30"/>
        <v>1385.5595478245673</v>
      </c>
      <c r="G175" s="33">
        <f t="shared" si="31"/>
        <v>324.76321470462045</v>
      </c>
      <c r="H175" s="33">
        <f t="shared" si="35"/>
        <v>84651.735837125161</v>
      </c>
      <c r="I175" s="33">
        <f t="shared" si="36"/>
        <v>1060.7963331199469</v>
      </c>
      <c r="J175" s="33">
        <f t="shared" si="37"/>
        <v>153664.50638870042</v>
      </c>
      <c r="K175" s="33">
        <f t="shared" si="38"/>
        <v>155635.49361129935</v>
      </c>
      <c r="L175" s="67"/>
    </row>
    <row r="176" spans="5:12" x14ac:dyDescent="0.25">
      <c r="E176" s="63">
        <v>173</v>
      </c>
      <c r="F176" s="33">
        <f t="shared" si="30"/>
        <v>1385.5595478245673</v>
      </c>
      <c r="G176" s="33">
        <f t="shared" si="31"/>
        <v>322.56464556547172</v>
      </c>
      <c r="H176" s="33">
        <f t="shared" si="35"/>
        <v>84974.30048269064</v>
      </c>
      <c r="I176" s="33">
        <f t="shared" si="36"/>
        <v>1062.9949022590956</v>
      </c>
      <c r="J176" s="33">
        <f t="shared" si="37"/>
        <v>154727.50129095951</v>
      </c>
      <c r="K176" s="33">
        <f t="shared" si="38"/>
        <v>154572.49870904026</v>
      </c>
      <c r="L176" s="67"/>
    </row>
    <row r="177" spans="5:12" x14ac:dyDescent="0.25">
      <c r="E177" s="63">
        <v>174</v>
      </c>
      <c r="F177" s="33">
        <f t="shared" si="30"/>
        <v>1385.5595478245673</v>
      </c>
      <c r="G177" s="33">
        <f t="shared" si="31"/>
        <v>320.36151974931653</v>
      </c>
      <c r="H177" s="33">
        <f t="shared" si="35"/>
        <v>85294.66200243996</v>
      </c>
      <c r="I177" s="33">
        <f t="shared" si="36"/>
        <v>1065.1980280752507</v>
      </c>
      <c r="J177" s="33">
        <f t="shared" si="37"/>
        <v>155792.69931903476</v>
      </c>
      <c r="K177" s="33">
        <f t="shared" si="38"/>
        <v>153507.30068096501</v>
      </c>
      <c r="L177" s="67"/>
    </row>
    <row r="178" spans="5:12" x14ac:dyDescent="0.25">
      <c r="E178" s="63">
        <v>175</v>
      </c>
      <c r="F178" s="33">
        <f t="shared" si="30"/>
        <v>1385.5595478245673</v>
      </c>
      <c r="G178" s="33">
        <f t="shared" si="31"/>
        <v>318.15382781214657</v>
      </c>
      <c r="H178" s="33">
        <f t="shared" si="35"/>
        <v>85612.815830252104</v>
      </c>
      <c r="I178" s="33">
        <f t="shared" si="36"/>
        <v>1067.4057200124207</v>
      </c>
      <c r="J178" s="33">
        <f t="shared" si="37"/>
        <v>156860.10503904716</v>
      </c>
      <c r="K178" s="33">
        <f t="shared" si="38"/>
        <v>152439.8949609526</v>
      </c>
      <c r="L178" s="67"/>
    </row>
    <row r="179" spans="5:12" x14ac:dyDescent="0.25">
      <c r="E179" s="63">
        <v>176</v>
      </c>
      <c r="F179" s="33">
        <f t="shared" si="30"/>
        <v>1385.5595478245673</v>
      </c>
      <c r="G179" s="33">
        <f t="shared" si="31"/>
        <v>315.94156029038021</v>
      </c>
      <c r="H179" s="33">
        <f t="shared" si="35"/>
        <v>85928.75739054248</v>
      </c>
      <c r="I179" s="33">
        <f t="shared" si="36"/>
        <v>1069.617987534187</v>
      </c>
      <c r="J179" s="33">
        <f t="shared" si="37"/>
        <v>157929.72302658134</v>
      </c>
      <c r="K179" s="33">
        <f t="shared" si="38"/>
        <v>151370.27697341843</v>
      </c>
      <c r="L179" s="67"/>
    </row>
    <row r="180" spans="5:12" x14ac:dyDescent="0.25">
      <c r="E180" s="63">
        <v>177</v>
      </c>
      <c r="F180" s="33">
        <f t="shared" si="30"/>
        <v>1385.5595478245673</v>
      </c>
      <c r="G180" s="33">
        <f t="shared" si="31"/>
        <v>313.72470770082174</v>
      </c>
      <c r="H180" s="33">
        <f t="shared" si="35"/>
        <v>86242.482098243301</v>
      </c>
      <c r="I180" s="33">
        <f t="shared" si="36"/>
        <v>1071.8348401237456</v>
      </c>
      <c r="J180" s="33">
        <f t="shared" si="37"/>
        <v>159001.55786670509</v>
      </c>
      <c r="K180" s="33">
        <f t="shared" si="38"/>
        <v>150298.44213329468</v>
      </c>
      <c r="L180" s="67"/>
    </row>
    <row r="181" spans="5:12" x14ac:dyDescent="0.25">
      <c r="E181" s="63">
        <v>178</v>
      </c>
      <c r="F181" s="33">
        <f t="shared" si="30"/>
        <v>1385.5595478245673</v>
      </c>
      <c r="G181" s="33">
        <f t="shared" si="31"/>
        <v>311.50326054062111</v>
      </c>
      <c r="H181" s="33">
        <f t="shared" si="35"/>
        <v>86553.985358783917</v>
      </c>
      <c r="I181" s="33">
        <f t="shared" si="36"/>
        <v>1074.0562872839462</v>
      </c>
      <c r="J181" s="33">
        <f t="shared" si="37"/>
        <v>160075.61415398904</v>
      </c>
      <c r="K181" s="33">
        <f t="shared" si="38"/>
        <v>149224.38584601073</v>
      </c>
      <c r="L181" s="67"/>
    </row>
    <row r="182" spans="5:12" x14ac:dyDescent="0.25">
      <c r="E182" s="63">
        <v>179</v>
      </c>
      <c r="F182" s="33">
        <f t="shared" si="30"/>
        <v>1385.5595478245673</v>
      </c>
      <c r="G182" s="33">
        <f t="shared" si="31"/>
        <v>309.27720928723301</v>
      </c>
      <c r="H182" s="33">
        <f t="shared" si="35"/>
        <v>86863.26256807115</v>
      </c>
      <c r="I182" s="33">
        <f t="shared" si="36"/>
        <v>1076.2823385373342</v>
      </c>
      <c r="J182" s="33">
        <f t="shared" si="37"/>
        <v>161151.89649252637</v>
      </c>
      <c r="K182" s="33">
        <f t="shared" si="38"/>
        <v>148148.1035074734</v>
      </c>
      <c r="L182" s="67"/>
    </row>
    <row r="183" spans="5:12" x14ac:dyDescent="0.25">
      <c r="E183" s="63">
        <v>180</v>
      </c>
      <c r="F183" s="33">
        <f t="shared" si="30"/>
        <v>1385.5595478245673</v>
      </c>
      <c r="G183" s="33">
        <f t="shared" si="31"/>
        <v>307.04654439837589</v>
      </c>
      <c r="H183" s="33">
        <f t="shared" si="35"/>
        <v>87170.30911246952</v>
      </c>
      <c r="I183" s="33">
        <f t="shared" si="36"/>
        <v>1078.5130034261915</v>
      </c>
      <c r="J183" s="33">
        <f t="shared" si="37"/>
        <v>162230.40949595257</v>
      </c>
      <c r="K183" s="33">
        <f t="shared" si="38"/>
        <v>147069.5905040472</v>
      </c>
      <c r="L183" s="33">
        <f t="shared" ref="L183" si="40">K183</f>
        <v>147069.5905040472</v>
      </c>
    </row>
    <row r="184" spans="5:12" x14ac:dyDescent="0.25">
      <c r="E184" s="63">
        <v>181</v>
      </c>
      <c r="F184" s="33">
        <f t="shared" si="30"/>
        <v>1385.5595478245673</v>
      </c>
      <c r="G184" s="33">
        <f t="shared" si="31"/>
        <v>304.81125631199131</v>
      </c>
      <c r="H184" s="33">
        <f t="shared" si="35"/>
        <v>87475.120368781514</v>
      </c>
      <c r="I184" s="33">
        <f t="shared" si="36"/>
        <v>1080.7482915125761</v>
      </c>
      <c r="J184" s="33">
        <f t="shared" si="37"/>
        <v>163311.15778746514</v>
      </c>
      <c r="K184" s="33">
        <f t="shared" si="38"/>
        <v>145988.84221253463</v>
      </c>
      <c r="L184" s="67"/>
    </row>
    <row r="185" spans="5:12" x14ac:dyDescent="0.25">
      <c r="E185" s="63">
        <v>182</v>
      </c>
      <c r="F185" s="33">
        <f t="shared" si="30"/>
        <v>1385.5595478245673</v>
      </c>
      <c r="G185" s="33">
        <f t="shared" si="31"/>
        <v>302.5713354462028</v>
      </c>
      <c r="H185" s="33">
        <f t="shared" si="35"/>
        <v>87777.69170422772</v>
      </c>
      <c r="I185" s="33">
        <f t="shared" si="36"/>
        <v>1082.9882123783646</v>
      </c>
      <c r="J185" s="33">
        <f t="shared" si="37"/>
        <v>164394.14599984352</v>
      </c>
      <c r="K185" s="33">
        <f t="shared" si="38"/>
        <v>144905.85400015625</v>
      </c>
      <c r="L185" s="67"/>
    </row>
    <row r="186" spans="5:12" x14ac:dyDescent="0.25">
      <c r="E186" s="63">
        <v>183</v>
      </c>
      <c r="F186" s="33">
        <f t="shared" si="30"/>
        <v>1385.5595478245673</v>
      </c>
      <c r="G186" s="33">
        <f t="shared" si="31"/>
        <v>300.32677219927484</v>
      </c>
      <c r="H186" s="33">
        <f t="shared" si="35"/>
        <v>88078.018476426994</v>
      </c>
      <c r="I186" s="33">
        <f t="shared" si="36"/>
        <v>1085.2327756252926</v>
      </c>
      <c r="J186" s="33">
        <f t="shared" si="37"/>
        <v>165479.37877546879</v>
      </c>
      <c r="K186" s="33">
        <f t="shared" si="38"/>
        <v>143820.62122453097</v>
      </c>
      <c r="L186" s="67"/>
    </row>
    <row r="187" spans="5:12" x14ac:dyDescent="0.25">
      <c r="E187" s="63">
        <v>184</v>
      </c>
      <c r="F187" s="33">
        <f t="shared" si="30"/>
        <v>1385.5595478245673</v>
      </c>
      <c r="G187" s="33">
        <f t="shared" si="31"/>
        <v>298.07755694957171</v>
      </c>
      <c r="H187" s="33">
        <f t="shared" si="35"/>
        <v>88376.096033376569</v>
      </c>
      <c r="I187" s="33">
        <f t="shared" si="36"/>
        <v>1087.4819908749955</v>
      </c>
      <c r="J187" s="33">
        <f t="shared" si="37"/>
        <v>166566.8607663438</v>
      </c>
      <c r="K187" s="33">
        <f t="shared" si="38"/>
        <v>142733.13923365597</v>
      </c>
      <c r="L187" s="67"/>
    </row>
    <row r="188" spans="5:12" x14ac:dyDescent="0.25">
      <c r="E188" s="63">
        <v>185</v>
      </c>
      <c r="F188" s="33">
        <f t="shared" si="30"/>
        <v>1385.5595478245673</v>
      </c>
      <c r="G188" s="33">
        <f t="shared" si="31"/>
        <v>295.82368005551626</v>
      </c>
      <c r="H188" s="33">
        <f t="shared" si="35"/>
        <v>88671.919713432086</v>
      </c>
      <c r="I188" s="33">
        <f t="shared" si="36"/>
        <v>1089.7358677690511</v>
      </c>
      <c r="J188" s="33">
        <f t="shared" si="37"/>
        <v>167656.59663411285</v>
      </c>
      <c r="K188" s="33">
        <f t="shared" si="38"/>
        <v>141643.40336588692</v>
      </c>
      <c r="L188" s="67"/>
    </row>
    <row r="189" spans="5:12" x14ac:dyDescent="0.25">
      <c r="E189" s="63">
        <v>186</v>
      </c>
      <c r="F189" s="33">
        <f t="shared" si="30"/>
        <v>1385.5595478245673</v>
      </c>
      <c r="G189" s="33">
        <f t="shared" si="31"/>
        <v>293.56513185554843</v>
      </c>
      <c r="H189" s="33">
        <f t="shared" si="35"/>
        <v>88965.484845287632</v>
      </c>
      <c r="I189" s="33">
        <f t="shared" si="36"/>
        <v>1091.994415969019</v>
      </c>
      <c r="J189" s="33">
        <f t="shared" si="37"/>
        <v>168748.59105008186</v>
      </c>
      <c r="K189" s="33">
        <f t="shared" si="38"/>
        <v>140551.40894991791</v>
      </c>
      <c r="L189" s="67"/>
    </row>
    <row r="190" spans="5:12" x14ac:dyDescent="0.25">
      <c r="E190" s="63">
        <v>187</v>
      </c>
      <c r="F190" s="33">
        <f t="shared" si="30"/>
        <v>1385.5595478245673</v>
      </c>
      <c r="G190" s="33">
        <f t="shared" si="31"/>
        <v>291.30190266808404</v>
      </c>
      <c r="H190" s="33">
        <f t="shared" si="35"/>
        <v>89256.786747955717</v>
      </c>
      <c r="I190" s="33">
        <f t="shared" si="36"/>
        <v>1094.2576451564832</v>
      </c>
      <c r="J190" s="33">
        <f t="shared" si="37"/>
        <v>169842.84869523835</v>
      </c>
      <c r="K190" s="33">
        <f t="shared" si="38"/>
        <v>139457.15130476141</v>
      </c>
      <c r="L190" s="67"/>
    </row>
    <row r="191" spans="5:12" x14ac:dyDescent="0.25">
      <c r="E191" s="63">
        <v>188</v>
      </c>
      <c r="F191" s="33">
        <f t="shared" si="30"/>
        <v>1385.5595478245673</v>
      </c>
      <c r="G191" s="33">
        <f t="shared" si="31"/>
        <v>289.03398279147314</v>
      </c>
      <c r="H191" s="33">
        <f t="shared" si="35"/>
        <v>89545.820730747189</v>
      </c>
      <c r="I191" s="33">
        <f t="shared" si="36"/>
        <v>1096.5255650330942</v>
      </c>
      <c r="J191" s="33">
        <f t="shared" si="37"/>
        <v>170939.37426027143</v>
      </c>
      <c r="K191" s="33">
        <f t="shared" si="38"/>
        <v>138360.62573972833</v>
      </c>
      <c r="L191" s="67"/>
    </row>
    <row r="192" spans="5:12" x14ac:dyDescent="0.25">
      <c r="E192" s="63">
        <v>189</v>
      </c>
      <c r="F192" s="33">
        <f t="shared" si="30"/>
        <v>1385.5595478245673</v>
      </c>
      <c r="G192" s="33">
        <f t="shared" si="31"/>
        <v>286.76136250395865</v>
      </c>
      <c r="H192" s="33">
        <f t="shared" si="35"/>
        <v>89832.582093251141</v>
      </c>
      <c r="I192" s="33">
        <f t="shared" si="36"/>
        <v>1098.7981853206086</v>
      </c>
      <c r="J192" s="33">
        <f t="shared" si="37"/>
        <v>172038.17244559203</v>
      </c>
      <c r="K192" s="33">
        <f t="shared" si="38"/>
        <v>137261.82755440773</v>
      </c>
      <c r="L192" s="67"/>
    </row>
    <row r="193" spans="5:12" x14ac:dyDescent="0.25">
      <c r="E193" s="63">
        <v>190</v>
      </c>
      <c r="F193" s="33">
        <f t="shared" si="30"/>
        <v>1385.5595478245673</v>
      </c>
      <c r="G193" s="33">
        <f t="shared" si="31"/>
        <v>284.48403206363423</v>
      </c>
      <c r="H193" s="33">
        <f t="shared" si="35"/>
        <v>90117.06612531477</v>
      </c>
      <c r="I193" s="33">
        <f t="shared" si="36"/>
        <v>1101.0755157609331</v>
      </c>
      <c r="J193" s="33">
        <f t="shared" si="37"/>
        <v>173139.24796135296</v>
      </c>
      <c r="K193" s="33">
        <f t="shared" si="38"/>
        <v>136160.75203864681</v>
      </c>
      <c r="L193" s="67"/>
    </row>
    <row r="194" spans="5:12" x14ac:dyDescent="0.25">
      <c r="E194" s="63">
        <v>191</v>
      </c>
      <c r="F194" s="33">
        <f t="shared" si="30"/>
        <v>1385.5595478245673</v>
      </c>
      <c r="G194" s="33">
        <f t="shared" si="31"/>
        <v>282.20198170840308</v>
      </c>
      <c r="H194" s="33">
        <f t="shared" si="35"/>
        <v>90399.268107023177</v>
      </c>
      <c r="I194" s="33">
        <f t="shared" si="36"/>
        <v>1103.3575661161642</v>
      </c>
      <c r="J194" s="33">
        <f t="shared" si="37"/>
        <v>174242.60552746913</v>
      </c>
      <c r="K194" s="33">
        <f t="shared" si="38"/>
        <v>135057.39447253064</v>
      </c>
      <c r="L194" s="67"/>
    </row>
    <row r="195" spans="5:12" x14ac:dyDescent="0.25">
      <c r="E195" s="63">
        <v>192</v>
      </c>
      <c r="F195" s="33">
        <f t="shared" si="30"/>
        <v>1385.5595478245673</v>
      </c>
      <c r="G195" s="33">
        <f t="shared" si="31"/>
        <v>279.91520165593568</v>
      </c>
      <c r="H195" s="33">
        <f t="shared" si="35"/>
        <v>90679.183308679116</v>
      </c>
      <c r="I195" s="33">
        <f t="shared" si="36"/>
        <v>1105.6443461686317</v>
      </c>
      <c r="J195" s="33">
        <f t="shared" si="37"/>
        <v>175348.24987363777</v>
      </c>
      <c r="K195" s="33">
        <f t="shared" si="38"/>
        <v>133951.75012636199</v>
      </c>
      <c r="L195" s="33">
        <f t="shared" ref="L195" si="41">K195</f>
        <v>133951.75012636199</v>
      </c>
    </row>
    <row r="196" spans="5:12" x14ac:dyDescent="0.25">
      <c r="E196" s="63">
        <v>193</v>
      </c>
      <c r="F196" s="33">
        <f t="shared" ref="F196:F259" si="42">VERSEMENT_MENSUEL</f>
        <v>1385.5595478245673</v>
      </c>
      <c r="G196" s="33">
        <f t="shared" ref="G196:G259" si="43">K195*INTERET_MOIS</f>
        <v>277.62368210362791</v>
      </c>
      <c r="H196" s="33">
        <f t="shared" si="35"/>
        <v>90956.806990782745</v>
      </c>
      <c r="I196" s="33">
        <f t="shared" si="36"/>
        <v>1107.9358657209393</v>
      </c>
      <c r="J196" s="33">
        <f t="shared" si="37"/>
        <v>176456.18573935871</v>
      </c>
      <c r="K196" s="33">
        <f t="shared" si="38"/>
        <v>132843.81426064105</v>
      </c>
      <c r="L196" s="67"/>
    </row>
    <row r="197" spans="5:12" x14ac:dyDescent="0.25">
      <c r="E197" s="63">
        <v>194</v>
      </c>
      <c r="F197" s="33">
        <f t="shared" si="42"/>
        <v>1385.5595478245673</v>
      </c>
      <c r="G197" s="33">
        <f t="shared" si="43"/>
        <v>275.32741322855941</v>
      </c>
      <c r="H197" s="33">
        <f t="shared" si="35"/>
        <v>91232.134404011304</v>
      </c>
      <c r="I197" s="33">
        <f t="shared" si="36"/>
        <v>1110.2321345960079</v>
      </c>
      <c r="J197" s="33">
        <f t="shared" si="37"/>
        <v>177566.41787395472</v>
      </c>
      <c r="K197" s="33">
        <f t="shared" si="38"/>
        <v>131733.58212604505</v>
      </c>
      <c r="L197" s="67"/>
    </row>
    <row r="198" spans="5:12" x14ac:dyDescent="0.25">
      <c r="E198" s="63">
        <v>195</v>
      </c>
      <c r="F198" s="33">
        <f t="shared" si="42"/>
        <v>1385.5595478245673</v>
      </c>
      <c r="G198" s="33">
        <f t="shared" si="43"/>
        <v>273.02638518745096</v>
      </c>
      <c r="H198" s="33">
        <f t="shared" si="35"/>
        <v>91505.160789198751</v>
      </c>
      <c r="I198" s="33">
        <f t="shared" si="36"/>
        <v>1112.5331626371162</v>
      </c>
      <c r="J198" s="33">
        <f t="shared" si="37"/>
        <v>178678.95103659184</v>
      </c>
      <c r="K198" s="33">
        <f t="shared" si="38"/>
        <v>130621.04896340793</v>
      </c>
      <c r="L198" s="67"/>
    </row>
    <row r="199" spans="5:12" x14ac:dyDescent="0.25">
      <c r="E199" s="63">
        <v>196</v>
      </c>
      <c r="F199" s="33">
        <f t="shared" si="42"/>
        <v>1385.5595478245673</v>
      </c>
      <c r="G199" s="33">
        <f t="shared" si="43"/>
        <v>270.72058811662248</v>
      </c>
      <c r="H199" s="33">
        <f t="shared" si="35"/>
        <v>91775.881377315367</v>
      </c>
      <c r="I199" s="33">
        <f t="shared" si="36"/>
        <v>1114.8389597079449</v>
      </c>
      <c r="J199" s="33">
        <f t="shared" si="37"/>
        <v>179793.78999629978</v>
      </c>
      <c r="K199" s="33">
        <f t="shared" si="38"/>
        <v>129506.21000369998</v>
      </c>
      <c r="L199" s="67"/>
    </row>
    <row r="200" spans="5:12" x14ac:dyDescent="0.25">
      <c r="E200" s="63">
        <v>197</v>
      </c>
      <c r="F200" s="33">
        <f t="shared" si="42"/>
        <v>1385.5595478245673</v>
      </c>
      <c r="G200" s="33">
        <f t="shared" si="43"/>
        <v>268.41001213195091</v>
      </c>
      <c r="H200" s="33">
        <f t="shared" si="35"/>
        <v>92044.291389447317</v>
      </c>
      <c r="I200" s="33">
        <f t="shared" si="36"/>
        <v>1117.1495356926164</v>
      </c>
      <c r="J200" s="33">
        <f t="shared" si="37"/>
        <v>180910.93953199239</v>
      </c>
      <c r="K200" s="33">
        <f t="shared" si="38"/>
        <v>128389.06046800736</v>
      </c>
      <c r="L200" s="67"/>
    </row>
    <row r="201" spans="5:12" x14ac:dyDescent="0.25">
      <c r="E201" s="63">
        <v>198</v>
      </c>
      <c r="F201" s="33">
        <f t="shared" si="42"/>
        <v>1385.5595478245673</v>
      </c>
      <c r="G201" s="33">
        <f t="shared" si="43"/>
        <v>266.09464732882765</v>
      </c>
      <c r="H201" s="33">
        <f t="shared" si="35"/>
        <v>92310.386036776137</v>
      </c>
      <c r="I201" s="33">
        <f t="shared" si="36"/>
        <v>1119.4649004957396</v>
      </c>
      <c r="J201" s="33">
        <f t="shared" si="37"/>
        <v>182030.40443248814</v>
      </c>
      <c r="K201" s="33">
        <f t="shared" si="38"/>
        <v>127269.59556751161</v>
      </c>
      <c r="L201" s="67"/>
    </row>
    <row r="202" spans="5:12" x14ac:dyDescent="0.25">
      <c r="E202" s="63">
        <v>199</v>
      </c>
      <c r="F202" s="33">
        <f t="shared" si="42"/>
        <v>1385.5595478245673</v>
      </c>
      <c r="G202" s="33">
        <f t="shared" si="43"/>
        <v>263.77448378211608</v>
      </c>
      <c r="H202" s="33">
        <f t="shared" si="35"/>
        <v>92574.16052055826</v>
      </c>
      <c r="I202" s="33">
        <f t="shared" si="36"/>
        <v>1121.7850640424513</v>
      </c>
      <c r="J202" s="33">
        <f t="shared" si="37"/>
        <v>183152.1894965306</v>
      </c>
      <c r="K202" s="33">
        <f t="shared" si="38"/>
        <v>126147.81050346917</v>
      </c>
      <c r="L202" s="67"/>
    </row>
    <row r="203" spans="5:12" x14ac:dyDescent="0.25">
      <c r="E203" s="63">
        <v>200</v>
      </c>
      <c r="F203" s="33">
        <f t="shared" si="42"/>
        <v>1385.5595478245673</v>
      </c>
      <c r="G203" s="33">
        <f t="shared" si="43"/>
        <v>261.44951154610925</v>
      </c>
      <c r="H203" s="33">
        <f t="shared" si="35"/>
        <v>92835.610032104363</v>
      </c>
      <c r="I203" s="33">
        <f t="shared" si="36"/>
        <v>1124.110036278458</v>
      </c>
      <c r="J203" s="33">
        <f t="shared" si="37"/>
        <v>184276.29953280906</v>
      </c>
      <c r="K203" s="33">
        <f t="shared" si="38"/>
        <v>125023.70046719071</v>
      </c>
      <c r="L203" s="67"/>
    </row>
    <row r="204" spans="5:12" x14ac:dyDescent="0.25">
      <c r="E204" s="63">
        <v>201</v>
      </c>
      <c r="F204" s="33">
        <f t="shared" si="42"/>
        <v>1385.5595478245673</v>
      </c>
      <c r="G204" s="33">
        <f t="shared" si="43"/>
        <v>259.11972065448691</v>
      </c>
      <c r="H204" s="33">
        <f t="shared" si="35"/>
        <v>93094.729752758853</v>
      </c>
      <c r="I204" s="33">
        <f t="shared" si="36"/>
        <v>1126.4398271700804</v>
      </c>
      <c r="J204" s="33">
        <f t="shared" si="37"/>
        <v>185402.73935997914</v>
      </c>
      <c r="K204" s="33">
        <f t="shared" si="38"/>
        <v>123897.26064002063</v>
      </c>
      <c r="L204" s="67"/>
    </row>
    <row r="205" spans="5:12" x14ac:dyDescent="0.25">
      <c r="E205" s="63">
        <v>202</v>
      </c>
      <c r="F205" s="33">
        <f t="shared" si="42"/>
        <v>1385.5595478245673</v>
      </c>
      <c r="G205" s="33">
        <f t="shared" si="43"/>
        <v>256.78510112027311</v>
      </c>
      <c r="H205" s="33">
        <f t="shared" si="35"/>
        <v>93351.514853879125</v>
      </c>
      <c r="I205" s="33">
        <f t="shared" si="36"/>
        <v>1128.7744467042942</v>
      </c>
      <c r="J205" s="33">
        <f t="shared" si="37"/>
        <v>186531.51380668345</v>
      </c>
      <c r="K205" s="33">
        <f t="shared" si="38"/>
        <v>122768.48619331633</v>
      </c>
      <c r="L205" s="67"/>
    </row>
    <row r="206" spans="5:12" x14ac:dyDescent="0.25">
      <c r="E206" s="63">
        <v>203</v>
      </c>
      <c r="F206" s="33">
        <f t="shared" si="42"/>
        <v>1385.5595478245673</v>
      </c>
      <c r="G206" s="33">
        <f t="shared" si="43"/>
        <v>254.44564293579316</v>
      </c>
      <c r="H206" s="33">
        <f t="shared" si="35"/>
        <v>93605.960496814921</v>
      </c>
      <c r="I206" s="33">
        <f t="shared" si="36"/>
        <v>1131.1139048887742</v>
      </c>
      <c r="J206" s="33">
        <f t="shared" si="37"/>
        <v>187662.62771157222</v>
      </c>
      <c r="K206" s="33">
        <f t="shared" si="38"/>
        <v>121637.37228842756</v>
      </c>
      <c r="L206" s="67"/>
    </row>
    <row r="207" spans="5:12" x14ac:dyDescent="0.25">
      <c r="E207" s="63">
        <v>204</v>
      </c>
      <c r="F207" s="33">
        <f t="shared" si="42"/>
        <v>1385.5595478245673</v>
      </c>
      <c r="G207" s="33">
        <f t="shared" si="43"/>
        <v>252.10133607263083</v>
      </c>
      <c r="H207" s="33">
        <f t="shared" si="35"/>
        <v>93858.061832887557</v>
      </c>
      <c r="I207" s="33">
        <f t="shared" si="36"/>
        <v>1133.4582117519365</v>
      </c>
      <c r="J207" s="33">
        <f t="shared" si="37"/>
        <v>188796.08592332416</v>
      </c>
      <c r="K207" s="33">
        <f t="shared" si="38"/>
        <v>120503.91407667563</v>
      </c>
      <c r="L207" s="33">
        <f t="shared" ref="L207" si="44">K207</f>
        <v>120503.91407667563</v>
      </c>
    </row>
    <row r="208" spans="5:12" x14ac:dyDescent="0.25">
      <c r="E208" s="63">
        <v>205</v>
      </c>
      <c r="F208" s="33">
        <f t="shared" si="42"/>
        <v>1385.5595478245673</v>
      </c>
      <c r="G208" s="33">
        <f t="shared" si="43"/>
        <v>249.75217048158541</v>
      </c>
      <c r="H208" s="33">
        <f t="shared" si="35"/>
        <v>94107.814003369145</v>
      </c>
      <c r="I208" s="33">
        <f t="shared" si="36"/>
        <v>1135.8073773429819</v>
      </c>
      <c r="J208" s="33">
        <f t="shared" si="37"/>
        <v>189931.89330066714</v>
      </c>
      <c r="K208" s="33">
        <f t="shared" si="38"/>
        <v>119368.10669933265</v>
      </c>
      <c r="L208" s="67"/>
    </row>
    <row r="209" spans="5:12" x14ac:dyDescent="0.25">
      <c r="E209" s="63">
        <v>206</v>
      </c>
      <c r="F209" s="33">
        <f t="shared" si="42"/>
        <v>1385.5595478245673</v>
      </c>
      <c r="G209" s="33">
        <f t="shared" si="43"/>
        <v>247.39813609262848</v>
      </c>
      <c r="H209" s="33">
        <f t="shared" si="35"/>
        <v>94355.212139461772</v>
      </c>
      <c r="I209" s="33">
        <f t="shared" si="36"/>
        <v>1138.1614117319389</v>
      </c>
      <c r="J209" s="33">
        <f t="shared" si="37"/>
        <v>191070.05471239908</v>
      </c>
      <c r="K209" s="33">
        <f t="shared" si="38"/>
        <v>118229.94528760071</v>
      </c>
      <c r="L209" s="67"/>
    </row>
    <row r="210" spans="5:12" x14ac:dyDescent="0.25">
      <c r="E210" s="63">
        <v>207</v>
      </c>
      <c r="F210" s="33">
        <f t="shared" si="42"/>
        <v>1385.5595478245673</v>
      </c>
      <c r="G210" s="33">
        <f t="shared" si="43"/>
        <v>245.03922281486086</v>
      </c>
      <c r="H210" s="33">
        <f t="shared" si="35"/>
        <v>94600.251362276627</v>
      </c>
      <c r="I210" s="33">
        <f t="shared" si="36"/>
        <v>1140.5203250097065</v>
      </c>
      <c r="J210" s="33">
        <f t="shared" si="37"/>
        <v>192210.57503740879</v>
      </c>
      <c r="K210" s="33">
        <f t="shared" si="38"/>
        <v>117089.424962591</v>
      </c>
      <c r="L210" s="67"/>
    </row>
    <row r="211" spans="5:12" x14ac:dyDescent="0.25">
      <c r="E211" s="63">
        <v>208</v>
      </c>
      <c r="F211" s="33">
        <f t="shared" si="42"/>
        <v>1385.5595478245673</v>
      </c>
      <c r="G211" s="33">
        <f t="shared" si="43"/>
        <v>242.67542053646937</v>
      </c>
      <c r="H211" s="33">
        <f t="shared" si="35"/>
        <v>94842.926782813098</v>
      </c>
      <c r="I211" s="33">
        <f t="shared" si="36"/>
        <v>1142.8841272880979</v>
      </c>
      <c r="J211" s="33">
        <f t="shared" si="37"/>
        <v>193353.45916469689</v>
      </c>
      <c r="K211" s="33">
        <f t="shared" si="38"/>
        <v>115946.54083530291</v>
      </c>
      <c r="L211" s="67"/>
    </row>
    <row r="212" spans="5:12" x14ac:dyDescent="0.25">
      <c r="E212" s="63">
        <v>209</v>
      </c>
      <c r="F212" s="33">
        <f t="shared" si="42"/>
        <v>1385.5595478245673</v>
      </c>
      <c r="G212" s="33">
        <f t="shared" si="43"/>
        <v>240.30671912468341</v>
      </c>
      <c r="H212" s="33">
        <f t="shared" si="35"/>
        <v>95083.233501937779</v>
      </c>
      <c r="I212" s="33">
        <f t="shared" si="36"/>
        <v>1145.2528286998838</v>
      </c>
      <c r="J212" s="33">
        <f t="shared" si="37"/>
        <v>194498.71199339678</v>
      </c>
      <c r="K212" s="33">
        <f t="shared" si="38"/>
        <v>114801.28800660302</v>
      </c>
      <c r="L212" s="67"/>
    </row>
    <row r="213" spans="5:12" x14ac:dyDescent="0.25">
      <c r="E213" s="63">
        <v>210</v>
      </c>
      <c r="F213" s="33">
        <f t="shared" si="42"/>
        <v>1385.5595478245673</v>
      </c>
      <c r="G213" s="33">
        <f t="shared" si="43"/>
        <v>237.93310842573158</v>
      </c>
      <c r="H213" s="33">
        <f t="shared" si="35"/>
        <v>95321.166610363507</v>
      </c>
      <c r="I213" s="33">
        <f t="shared" si="36"/>
        <v>1147.6264393988358</v>
      </c>
      <c r="J213" s="33">
        <f t="shared" si="37"/>
        <v>195646.3384327956</v>
      </c>
      <c r="K213" s="33">
        <f t="shared" si="38"/>
        <v>113653.66156720418</v>
      </c>
      <c r="L213" s="67"/>
    </row>
    <row r="214" spans="5:12" x14ac:dyDescent="0.25">
      <c r="E214" s="63">
        <v>211</v>
      </c>
      <c r="F214" s="33">
        <f t="shared" si="42"/>
        <v>1385.5595478245673</v>
      </c>
      <c r="G214" s="33">
        <f t="shared" si="43"/>
        <v>235.55457826479807</v>
      </c>
      <c r="H214" s="33">
        <f t="shared" si="35"/>
        <v>95556.721188628304</v>
      </c>
      <c r="I214" s="33">
        <f t="shared" si="36"/>
        <v>1150.0049695597693</v>
      </c>
      <c r="J214" s="33">
        <f t="shared" si="37"/>
        <v>196796.34340235536</v>
      </c>
      <c r="K214" s="33">
        <f t="shared" si="38"/>
        <v>112503.65659764441</v>
      </c>
      <c r="L214" s="67"/>
    </row>
    <row r="215" spans="5:12" x14ac:dyDescent="0.25">
      <c r="E215" s="63">
        <v>212</v>
      </c>
      <c r="F215" s="33">
        <f t="shared" si="42"/>
        <v>1385.5595478245673</v>
      </c>
      <c r="G215" s="33">
        <f t="shared" si="43"/>
        <v>233.17111844597915</v>
      </c>
      <c r="H215" s="33">
        <f t="shared" si="35"/>
        <v>95789.892307074289</v>
      </c>
      <c r="I215" s="33">
        <f t="shared" si="36"/>
        <v>1152.3884293785882</v>
      </c>
      <c r="J215" s="33">
        <f t="shared" si="37"/>
        <v>197948.73183173395</v>
      </c>
      <c r="K215" s="33">
        <f t="shared" si="38"/>
        <v>111351.26816826583</v>
      </c>
      <c r="L215" s="67"/>
    </row>
    <row r="216" spans="5:12" x14ac:dyDescent="0.25">
      <c r="E216" s="63">
        <v>213</v>
      </c>
      <c r="F216" s="33">
        <f t="shared" si="42"/>
        <v>1385.5595478245673</v>
      </c>
      <c r="G216" s="33">
        <f t="shared" si="43"/>
        <v>230.78271875223948</v>
      </c>
      <c r="H216" s="33">
        <f t="shared" si="35"/>
        <v>96020.675025826524</v>
      </c>
      <c r="I216" s="33">
        <f t="shared" si="36"/>
        <v>1154.7768290723279</v>
      </c>
      <c r="J216" s="33">
        <f t="shared" si="37"/>
        <v>199103.50866080628</v>
      </c>
      <c r="K216" s="33">
        <f t="shared" si="38"/>
        <v>110196.4913391935</v>
      </c>
      <c r="L216" s="67"/>
    </row>
    <row r="217" spans="5:12" x14ac:dyDescent="0.25">
      <c r="E217" s="63">
        <v>214</v>
      </c>
      <c r="F217" s="33">
        <f t="shared" si="42"/>
        <v>1385.5595478245673</v>
      </c>
      <c r="G217" s="33">
        <f t="shared" si="43"/>
        <v>228.38936894536806</v>
      </c>
      <c r="H217" s="33">
        <f t="shared" si="35"/>
        <v>96249.064394771893</v>
      </c>
      <c r="I217" s="33">
        <f t="shared" si="36"/>
        <v>1157.1701788791993</v>
      </c>
      <c r="J217" s="33">
        <f t="shared" si="37"/>
        <v>200260.67883968548</v>
      </c>
      <c r="K217" s="33">
        <f t="shared" si="38"/>
        <v>109039.3211603143</v>
      </c>
      <c r="L217" s="67"/>
    </row>
    <row r="218" spans="5:12" x14ac:dyDescent="0.25">
      <c r="E218" s="63">
        <v>215</v>
      </c>
      <c r="F218" s="33">
        <f t="shared" si="42"/>
        <v>1385.5595478245673</v>
      </c>
      <c r="G218" s="33">
        <f t="shared" si="43"/>
        <v>225.99105876593481</v>
      </c>
      <c r="H218" s="33">
        <f t="shared" si="35"/>
        <v>96475.055453537832</v>
      </c>
      <c r="I218" s="33">
        <f t="shared" si="36"/>
        <v>1159.5684890586324</v>
      </c>
      <c r="J218" s="33">
        <f t="shared" si="37"/>
        <v>201420.24732874412</v>
      </c>
      <c r="K218" s="33">
        <f t="shared" si="38"/>
        <v>107879.75267125567</v>
      </c>
      <c r="L218" s="67"/>
    </row>
    <row r="219" spans="5:12" x14ac:dyDescent="0.25">
      <c r="E219" s="63">
        <v>216</v>
      </c>
      <c r="F219" s="33">
        <f t="shared" si="42"/>
        <v>1385.5595478245673</v>
      </c>
      <c r="G219" s="33">
        <f t="shared" si="43"/>
        <v>223.58777793324606</v>
      </c>
      <c r="H219" s="33">
        <f t="shared" si="35"/>
        <v>96698.643231471084</v>
      </c>
      <c r="I219" s="33">
        <f t="shared" si="36"/>
        <v>1161.9717698913212</v>
      </c>
      <c r="J219" s="33">
        <f t="shared" si="37"/>
        <v>202582.21909863545</v>
      </c>
      <c r="K219" s="33">
        <f t="shared" si="38"/>
        <v>106717.78090136436</v>
      </c>
      <c r="L219" s="33">
        <f t="shared" ref="L219" si="45">K219</f>
        <v>106717.78090136436</v>
      </c>
    </row>
    <row r="220" spans="5:12" x14ac:dyDescent="0.25">
      <c r="E220" s="63">
        <v>217</v>
      </c>
      <c r="F220" s="33">
        <f t="shared" si="42"/>
        <v>1385.5595478245673</v>
      </c>
      <c r="G220" s="33">
        <f t="shared" si="43"/>
        <v>221.17951614530091</v>
      </c>
      <c r="H220" s="33">
        <f t="shared" si="35"/>
        <v>96919.822747616388</v>
      </c>
      <c r="I220" s="33">
        <f t="shared" si="36"/>
        <v>1164.3800316792663</v>
      </c>
      <c r="J220" s="33">
        <f t="shared" si="37"/>
        <v>203746.59913031472</v>
      </c>
      <c r="K220" s="33">
        <f t="shared" si="38"/>
        <v>105553.40086968509</v>
      </c>
      <c r="L220" s="67"/>
    </row>
    <row r="221" spans="5:12" x14ac:dyDescent="0.25">
      <c r="E221" s="63">
        <v>218</v>
      </c>
      <c r="F221" s="33">
        <f t="shared" si="42"/>
        <v>1385.5595478245673</v>
      </c>
      <c r="G221" s="33">
        <f t="shared" si="43"/>
        <v>218.76626307874676</v>
      </c>
      <c r="H221" s="33">
        <f t="shared" si="35"/>
        <v>97138.589010695141</v>
      </c>
      <c r="I221" s="33">
        <f t="shared" si="36"/>
        <v>1166.7932847458205</v>
      </c>
      <c r="J221" s="33">
        <f t="shared" si="37"/>
        <v>204913.39241506055</v>
      </c>
      <c r="K221" s="33">
        <f t="shared" si="38"/>
        <v>104386.60758493928</v>
      </c>
      <c r="L221" s="67"/>
    </row>
    <row r="222" spans="5:12" x14ac:dyDescent="0.25">
      <c r="E222" s="63">
        <v>219</v>
      </c>
      <c r="F222" s="33">
        <f t="shared" si="42"/>
        <v>1385.5595478245673</v>
      </c>
      <c r="G222" s="33">
        <f t="shared" si="43"/>
        <v>216.34800838883532</v>
      </c>
      <c r="H222" s="33">
        <f t="shared" si="35"/>
        <v>97354.937019083984</v>
      </c>
      <c r="I222" s="33">
        <f t="shared" si="36"/>
        <v>1169.211539435732</v>
      </c>
      <c r="J222" s="33">
        <f t="shared" si="37"/>
        <v>206082.60395449627</v>
      </c>
      <c r="K222" s="33">
        <f t="shared" si="38"/>
        <v>103217.39604550354</v>
      </c>
      <c r="L222" s="67"/>
    </row>
    <row r="223" spans="5:12" x14ac:dyDescent="0.25">
      <c r="E223" s="63">
        <v>220</v>
      </c>
      <c r="F223" s="33">
        <f t="shared" si="42"/>
        <v>1385.5595478245673</v>
      </c>
      <c r="G223" s="33">
        <f t="shared" si="43"/>
        <v>213.92474170937805</v>
      </c>
      <c r="H223" s="33">
        <f t="shared" si="35"/>
        <v>97568.861760793356</v>
      </c>
      <c r="I223" s="33">
        <f t="shared" si="36"/>
        <v>1171.6348061151893</v>
      </c>
      <c r="J223" s="33">
        <f t="shared" si="37"/>
        <v>207254.23876061145</v>
      </c>
      <c r="K223" s="33">
        <f t="shared" si="38"/>
        <v>102045.76123938835</v>
      </c>
      <c r="L223" s="67"/>
    </row>
    <row r="224" spans="5:12" x14ac:dyDescent="0.25">
      <c r="E224" s="63">
        <v>221</v>
      </c>
      <c r="F224" s="33">
        <f t="shared" si="42"/>
        <v>1385.5595478245673</v>
      </c>
      <c r="G224" s="33">
        <f t="shared" si="43"/>
        <v>211.49645265270183</v>
      </c>
      <c r="H224" s="33">
        <f t="shared" si="35"/>
        <v>97780.358213446059</v>
      </c>
      <c r="I224" s="33">
        <f t="shared" si="36"/>
        <v>1174.0630951718654</v>
      </c>
      <c r="J224" s="33">
        <f t="shared" si="37"/>
        <v>208428.30185578333</v>
      </c>
      <c r="K224" s="33">
        <f t="shared" si="38"/>
        <v>100871.69814421648</v>
      </c>
      <c r="L224" s="67"/>
    </row>
    <row r="225" spans="5:12" x14ac:dyDescent="0.25">
      <c r="E225" s="63">
        <v>222</v>
      </c>
      <c r="F225" s="33">
        <f t="shared" si="42"/>
        <v>1385.5595478245673</v>
      </c>
      <c r="G225" s="33">
        <f t="shared" si="43"/>
        <v>209.0631308096045</v>
      </c>
      <c r="H225" s="33">
        <f t="shared" si="35"/>
        <v>97989.421344255665</v>
      </c>
      <c r="I225" s="33">
        <f t="shared" si="36"/>
        <v>1176.4964170149628</v>
      </c>
      <c r="J225" s="33">
        <f t="shared" si="37"/>
        <v>209604.7982727983</v>
      </c>
      <c r="K225" s="33">
        <f t="shared" si="38"/>
        <v>99695.201727201522</v>
      </c>
      <c r="L225" s="67"/>
    </row>
    <row r="226" spans="5:12" x14ac:dyDescent="0.25">
      <c r="E226" s="63">
        <v>223</v>
      </c>
      <c r="F226" s="33">
        <f t="shared" si="42"/>
        <v>1385.5595478245673</v>
      </c>
      <c r="G226" s="33">
        <f t="shared" si="43"/>
        <v>206.62476574931</v>
      </c>
      <c r="H226" s="33">
        <f t="shared" si="35"/>
        <v>98196.046110004972</v>
      </c>
      <c r="I226" s="33">
        <f t="shared" si="36"/>
        <v>1178.9347820752573</v>
      </c>
      <c r="J226" s="33">
        <f t="shared" si="37"/>
        <v>210783.73305487356</v>
      </c>
      <c r="K226" s="33">
        <f t="shared" si="38"/>
        <v>98516.266945126263</v>
      </c>
      <c r="L226" s="67"/>
    </row>
    <row r="227" spans="5:12" x14ac:dyDescent="0.25">
      <c r="E227" s="63">
        <v>224</v>
      </c>
      <c r="F227" s="33">
        <f t="shared" si="42"/>
        <v>1385.5595478245673</v>
      </c>
      <c r="G227" s="33">
        <f t="shared" si="43"/>
        <v>204.18134701942392</v>
      </c>
      <c r="H227" s="33">
        <f t="shared" si="35"/>
        <v>98400.22745702439</v>
      </c>
      <c r="I227" s="33">
        <f t="shared" si="36"/>
        <v>1181.3782008051435</v>
      </c>
      <c r="J227" s="33">
        <f t="shared" si="37"/>
        <v>211965.1112556787</v>
      </c>
      <c r="K227" s="33">
        <f t="shared" si="38"/>
        <v>97334.888744321113</v>
      </c>
      <c r="L227" s="67"/>
    </row>
    <row r="228" spans="5:12" x14ac:dyDescent="0.25">
      <c r="E228" s="63">
        <v>225</v>
      </c>
      <c r="F228" s="33">
        <f t="shared" si="42"/>
        <v>1385.5595478245673</v>
      </c>
      <c r="G228" s="33">
        <f t="shared" si="43"/>
        <v>201.73286414588858</v>
      </c>
      <c r="H228" s="33">
        <f t="shared" si="35"/>
        <v>98601.960321170278</v>
      </c>
      <c r="I228" s="33">
        <f t="shared" si="36"/>
        <v>1183.8266836786788</v>
      </c>
      <c r="J228" s="33">
        <f t="shared" si="37"/>
        <v>213148.93793935736</v>
      </c>
      <c r="K228" s="33">
        <f t="shared" si="38"/>
        <v>96151.062060642435</v>
      </c>
      <c r="L228" s="67"/>
    </row>
    <row r="229" spans="5:12" x14ac:dyDescent="0.25">
      <c r="E229" s="63">
        <v>226</v>
      </c>
      <c r="F229" s="33">
        <f t="shared" si="42"/>
        <v>1385.5595478245673</v>
      </c>
      <c r="G229" s="33">
        <f t="shared" si="43"/>
        <v>199.2793066329381</v>
      </c>
      <c r="H229" s="33">
        <f t="shared" si="35"/>
        <v>98801.23962780321</v>
      </c>
      <c r="I229" s="33">
        <f t="shared" si="36"/>
        <v>1186.2802411916291</v>
      </c>
      <c r="J229" s="33">
        <f t="shared" si="37"/>
        <v>214335.21818054898</v>
      </c>
      <c r="K229" s="33">
        <f t="shared" si="38"/>
        <v>94964.7818194508</v>
      </c>
      <c r="L229" s="67"/>
    </row>
    <row r="230" spans="5:12" x14ac:dyDescent="0.25">
      <c r="E230" s="63">
        <v>227</v>
      </c>
      <c r="F230" s="33">
        <f t="shared" si="42"/>
        <v>1385.5595478245673</v>
      </c>
      <c r="G230" s="33">
        <f t="shared" si="43"/>
        <v>196.82066396305345</v>
      </c>
      <c r="H230" s="33">
        <f t="shared" si="35"/>
        <v>98998.060291766262</v>
      </c>
      <c r="I230" s="33">
        <f t="shared" si="36"/>
        <v>1188.7388838615138</v>
      </c>
      <c r="J230" s="33">
        <f t="shared" si="37"/>
        <v>215523.9570644105</v>
      </c>
      <c r="K230" s="33">
        <f t="shared" si="38"/>
        <v>93776.042935589285</v>
      </c>
      <c r="L230" s="67"/>
    </row>
    <row r="231" spans="5:12" x14ac:dyDescent="0.25">
      <c r="E231" s="63">
        <v>228</v>
      </c>
      <c r="F231" s="33">
        <f t="shared" si="42"/>
        <v>1385.5595478245673</v>
      </c>
      <c r="G231" s="33">
        <f t="shared" si="43"/>
        <v>194.35692559691736</v>
      </c>
      <c r="H231" s="33">
        <f t="shared" si="35"/>
        <v>99192.417217363181</v>
      </c>
      <c r="I231" s="33">
        <f t="shared" si="36"/>
        <v>1191.20262222765</v>
      </c>
      <c r="J231" s="33">
        <f t="shared" si="37"/>
        <v>216715.15968663816</v>
      </c>
      <c r="K231" s="33">
        <f t="shared" si="38"/>
        <v>92584.840313361638</v>
      </c>
      <c r="L231" s="33">
        <f t="shared" ref="L231" si="46">K231</f>
        <v>92584.840313361638</v>
      </c>
    </row>
    <row r="232" spans="5:12" x14ac:dyDescent="0.25">
      <c r="E232" s="63">
        <v>229</v>
      </c>
      <c r="F232" s="33">
        <f t="shared" si="42"/>
        <v>1385.5595478245673</v>
      </c>
      <c r="G232" s="33">
        <f t="shared" si="43"/>
        <v>191.8880809733692</v>
      </c>
      <c r="H232" s="33">
        <f t="shared" ref="H232:H295" si="47">H231+G232</f>
        <v>99384.305298336549</v>
      </c>
      <c r="I232" s="33">
        <f t="shared" ref="I232:I295" si="48">F232-G232</f>
        <v>1193.6714668511981</v>
      </c>
      <c r="J232" s="33">
        <f t="shared" ref="J232:J295" si="49">J231+I232</f>
        <v>217908.83115348936</v>
      </c>
      <c r="K232" s="33">
        <f t="shared" ref="K232:K295" si="50">K231-I232</f>
        <v>91391.168846510438</v>
      </c>
      <c r="L232" s="67"/>
    </row>
    <row r="233" spans="5:12" x14ac:dyDescent="0.25">
      <c r="E233" s="63">
        <v>230</v>
      </c>
      <c r="F233" s="33">
        <f t="shared" si="42"/>
        <v>1385.5595478245673</v>
      </c>
      <c r="G233" s="33">
        <f t="shared" si="43"/>
        <v>189.41411950935955</v>
      </c>
      <c r="H233" s="33">
        <f t="shared" si="47"/>
        <v>99573.719417845903</v>
      </c>
      <c r="I233" s="33">
        <f t="shared" si="48"/>
        <v>1196.1454283152077</v>
      </c>
      <c r="J233" s="33">
        <f t="shared" si="49"/>
        <v>219104.97658180457</v>
      </c>
      <c r="K233" s="33">
        <f t="shared" si="50"/>
        <v>90195.023418195226</v>
      </c>
      <c r="L233" s="67"/>
    </row>
    <row r="234" spans="5:12" x14ac:dyDescent="0.25">
      <c r="E234" s="63">
        <v>231</v>
      </c>
      <c r="F234" s="33">
        <f t="shared" si="42"/>
        <v>1385.5595478245673</v>
      </c>
      <c r="G234" s="33">
        <f t="shared" si="43"/>
        <v>186.93503059990499</v>
      </c>
      <c r="H234" s="33">
        <f t="shared" si="47"/>
        <v>99760.654448445814</v>
      </c>
      <c r="I234" s="33">
        <f t="shared" si="48"/>
        <v>1198.6245172246622</v>
      </c>
      <c r="J234" s="33">
        <f t="shared" si="49"/>
        <v>220303.60109902924</v>
      </c>
      <c r="K234" s="33">
        <f t="shared" si="50"/>
        <v>88996.398900970569</v>
      </c>
      <c r="L234" s="67"/>
    </row>
    <row r="235" spans="5:12" x14ac:dyDescent="0.25">
      <c r="E235" s="63">
        <v>232</v>
      </c>
      <c r="F235" s="33">
        <f t="shared" si="42"/>
        <v>1385.5595478245673</v>
      </c>
      <c r="G235" s="33">
        <f t="shared" si="43"/>
        <v>184.45080361804264</v>
      </c>
      <c r="H235" s="33">
        <f t="shared" si="47"/>
        <v>99945.105252063862</v>
      </c>
      <c r="I235" s="33">
        <f t="shared" si="48"/>
        <v>1201.1087442065245</v>
      </c>
      <c r="J235" s="33">
        <f t="shared" si="49"/>
        <v>221504.70984323576</v>
      </c>
      <c r="K235" s="33">
        <f t="shared" si="50"/>
        <v>87795.290156764051</v>
      </c>
      <c r="L235" s="67"/>
    </row>
    <row r="236" spans="5:12" x14ac:dyDescent="0.25">
      <c r="E236" s="63">
        <v>233</v>
      </c>
      <c r="F236" s="33">
        <f t="shared" si="42"/>
        <v>1385.5595478245673</v>
      </c>
      <c r="G236" s="33">
        <f t="shared" si="43"/>
        <v>181.96142791478445</v>
      </c>
      <c r="H236" s="33">
        <f t="shared" si="47"/>
        <v>100127.06667997864</v>
      </c>
      <c r="I236" s="33">
        <f t="shared" si="48"/>
        <v>1203.5981199097828</v>
      </c>
      <c r="J236" s="33">
        <f t="shared" si="49"/>
        <v>222708.30796314555</v>
      </c>
      <c r="K236" s="33">
        <f t="shared" si="50"/>
        <v>86591.692036854263</v>
      </c>
      <c r="L236" s="67"/>
    </row>
    <row r="237" spans="5:12" x14ac:dyDescent="0.25">
      <c r="E237" s="63">
        <v>234</v>
      </c>
      <c r="F237" s="33">
        <f t="shared" si="42"/>
        <v>1385.5595478245673</v>
      </c>
      <c r="G237" s="33">
        <f t="shared" si="43"/>
        <v>179.46689281907166</v>
      </c>
      <c r="H237" s="33">
        <f t="shared" si="47"/>
        <v>100306.53357279771</v>
      </c>
      <c r="I237" s="33">
        <f t="shared" si="48"/>
        <v>1206.0926550054955</v>
      </c>
      <c r="J237" s="33">
        <f t="shared" si="49"/>
        <v>223914.40061815103</v>
      </c>
      <c r="K237" s="33">
        <f t="shared" si="50"/>
        <v>85385.599381848762</v>
      </c>
      <c r="L237" s="67"/>
    </row>
    <row r="238" spans="5:12" x14ac:dyDescent="0.25">
      <c r="E238" s="63">
        <v>235</v>
      </c>
      <c r="F238" s="33">
        <f t="shared" si="42"/>
        <v>1385.5595478245673</v>
      </c>
      <c r="G238" s="33">
        <f t="shared" si="43"/>
        <v>176.96718763772913</v>
      </c>
      <c r="H238" s="33">
        <f t="shared" si="47"/>
        <v>100483.50076043543</v>
      </c>
      <c r="I238" s="33">
        <f t="shared" si="48"/>
        <v>1208.5923601868381</v>
      </c>
      <c r="J238" s="33">
        <f t="shared" si="49"/>
        <v>225122.99297833786</v>
      </c>
      <c r="K238" s="33">
        <f t="shared" si="50"/>
        <v>84177.007021661921</v>
      </c>
      <c r="L238" s="67"/>
    </row>
    <row r="239" spans="5:12" x14ac:dyDescent="0.25">
      <c r="E239" s="63">
        <v>236</v>
      </c>
      <c r="F239" s="33">
        <f t="shared" si="42"/>
        <v>1385.5595478245673</v>
      </c>
      <c r="G239" s="33">
        <f t="shared" si="43"/>
        <v>174.46230165541937</v>
      </c>
      <c r="H239" s="33">
        <f t="shared" si="47"/>
        <v>100657.96306209086</v>
      </c>
      <c r="I239" s="33">
        <f t="shared" si="48"/>
        <v>1211.0972461691479</v>
      </c>
      <c r="J239" s="33">
        <f t="shared" si="49"/>
        <v>226334.090224507</v>
      </c>
      <c r="K239" s="33">
        <f t="shared" si="50"/>
        <v>82965.909775492779</v>
      </c>
      <c r="L239" s="67"/>
    </row>
    <row r="240" spans="5:12" x14ac:dyDescent="0.25">
      <c r="E240" s="63">
        <v>237</v>
      </c>
      <c r="F240" s="33">
        <f t="shared" si="42"/>
        <v>1385.5595478245673</v>
      </c>
      <c r="G240" s="33">
        <f t="shared" si="43"/>
        <v>171.95222413459666</v>
      </c>
      <c r="H240" s="33">
        <f t="shared" si="47"/>
        <v>100829.91528622546</v>
      </c>
      <c r="I240" s="33">
        <f t="shared" si="48"/>
        <v>1213.6073236899706</v>
      </c>
      <c r="J240" s="33">
        <f t="shared" si="49"/>
        <v>227547.69754819697</v>
      </c>
      <c r="K240" s="33">
        <f t="shared" si="50"/>
        <v>81752.302451802811</v>
      </c>
      <c r="L240" s="67"/>
    </row>
    <row r="241" spans="5:12" x14ac:dyDescent="0.25">
      <c r="E241" s="63">
        <v>238</v>
      </c>
      <c r="F241" s="33">
        <f t="shared" si="42"/>
        <v>1385.5595478245673</v>
      </c>
      <c r="G241" s="33">
        <f t="shared" si="43"/>
        <v>169.43694431546103</v>
      </c>
      <c r="H241" s="33">
        <f t="shared" si="47"/>
        <v>100999.35223054091</v>
      </c>
      <c r="I241" s="33">
        <f t="shared" si="48"/>
        <v>1216.1226035091063</v>
      </c>
      <c r="J241" s="33">
        <f t="shared" si="49"/>
        <v>228763.82015170608</v>
      </c>
      <c r="K241" s="33">
        <f t="shared" si="50"/>
        <v>80536.179848293701</v>
      </c>
      <c r="L241" s="67"/>
    </row>
    <row r="242" spans="5:12" x14ac:dyDescent="0.25">
      <c r="E242" s="63">
        <v>239</v>
      </c>
      <c r="F242" s="33">
        <f t="shared" si="42"/>
        <v>1385.5595478245673</v>
      </c>
      <c r="G242" s="33">
        <f t="shared" si="43"/>
        <v>166.91645141591209</v>
      </c>
      <c r="H242" s="33">
        <f t="shared" si="47"/>
        <v>101166.26868195682</v>
      </c>
      <c r="I242" s="33">
        <f t="shared" si="48"/>
        <v>1218.6430964086553</v>
      </c>
      <c r="J242" s="33">
        <f t="shared" si="49"/>
        <v>229982.46324811474</v>
      </c>
      <c r="K242" s="33">
        <f t="shared" si="50"/>
        <v>79317.53675188504</v>
      </c>
      <c r="L242" s="67"/>
    </row>
    <row r="243" spans="5:12" x14ac:dyDescent="0.25">
      <c r="E243" s="63">
        <v>240</v>
      </c>
      <c r="F243" s="33">
        <f t="shared" si="42"/>
        <v>1385.5595478245673</v>
      </c>
      <c r="G243" s="33">
        <f t="shared" si="43"/>
        <v>164.39073463150288</v>
      </c>
      <c r="H243" s="33">
        <f t="shared" si="47"/>
        <v>101330.65941658833</v>
      </c>
      <c r="I243" s="33">
        <f t="shared" si="48"/>
        <v>1221.1688131930644</v>
      </c>
      <c r="J243" s="33">
        <f t="shared" si="49"/>
        <v>231203.63206130781</v>
      </c>
      <c r="K243" s="33">
        <f t="shared" si="50"/>
        <v>78096.367938691968</v>
      </c>
      <c r="L243" s="33">
        <f t="shared" ref="L243" si="51">K243</f>
        <v>78096.367938691968</v>
      </c>
    </row>
    <row r="244" spans="5:12" x14ac:dyDescent="0.25">
      <c r="E244" s="63">
        <v>241</v>
      </c>
      <c r="F244" s="33">
        <f t="shared" si="42"/>
        <v>1385.5595478245673</v>
      </c>
      <c r="G244" s="33">
        <f t="shared" si="43"/>
        <v>161.85978313539357</v>
      </c>
      <c r="H244" s="33">
        <f t="shared" si="47"/>
        <v>101492.51919972373</v>
      </c>
      <c r="I244" s="33">
        <f t="shared" si="48"/>
        <v>1223.6997646891737</v>
      </c>
      <c r="J244" s="33">
        <f t="shared" si="49"/>
        <v>232427.33182599698</v>
      </c>
      <c r="K244" s="33">
        <f t="shared" si="50"/>
        <v>76872.6681740028</v>
      </c>
      <c r="L244" s="67"/>
    </row>
    <row r="245" spans="5:12" x14ac:dyDescent="0.25">
      <c r="E245" s="63">
        <v>242</v>
      </c>
      <c r="F245" s="33">
        <f t="shared" si="42"/>
        <v>1385.5595478245673</v>
      </c>
      <c r="G245" s="33">
        <f t="shared" si="43"/>
        <v>159.32358607830494</v>
      </c>
      <c r="H245" s="33">
        <f t="shared" si="47"/>
        <v>101651.84278580203</v>
      </c>
      <c r="I245" s="33">
        <f t="shared" si="48"/>
        <v>1226.2359617462623</v>
      </c>
      <c r="J245" s="33">
        <f t="shared" si="49"/>
        <v>233653.56778774323</v>
      </c>
      <c r="K245" s="33">
        <f t="shared" si="50"/>
        <v>75646.432212256535</v>
      </c>
      <c r="L245" s="67"/>
    </row>
    <row r="246" spans="5:12" x14ac:dyDescent="0.25">
      <c r="E246" s="63">
        <v>243</v>
      </c>
      <c r="F246" s="33">
        <f t="shared" si="42"/>
        <v>1385.5595478245673</v>
      </c>
      <c r="G246" s="33">
        <f t="shared" si="43"/>
        <v>156.78213258847194</v>
      </c>
      <c r="H246" s="33">
        <f t="shared" si="47"/>
        <v>101808.6249183905</v>
      </c>
      <c r="I246" s="33">
        <f t="shared" si="48"/>
        <v>1228.7774152360953</v>
      </c>
      <c r="J246" s="33">
        <f t="shared" si="49"/>
        <v>234882.34520297934</v>
      </c>
      <c r="K246" s="33">
        <f t="shared" si="50"/>
        <v>74417.654797020441</v>
      </c>
      <c r="L246" s="67"/>
    </row>
    <row r="247" spans="5:12" x14ac:dyDescent="0.25">
      <c r="E247" s="63">
        <v>244</v>
      </c>
      <c r="F247" s="33">
        <f t="shared" si="42"/>
        <v>1385.5595478245673</v>
      </c>
      <c r="G247" s="33">
        <f t="shared" si="43"/>
        <v>154.23541177159709</v>
      </c>
      <c r="H247" s="33">
        <f t="shared" si="47"/>
        <v>101962.8603301621</v>
      </c>
      <c r="I247" s="33">
        <f t="shared" si="48"/>
        <v>1231.3241360529703</v>
      </c>
      <c r="J247" s="33">
        <f t="shared" si="49"/>
        <v>236113.66933903232</v>
      </c>
      <c r="K247" s="33">
        <f t="shared" si="50"/>
        <v>73186.330660967476</v>
      </c>
      <c r="L247" s="67"/>
    </row>
    <row r="248" spans="5:12" x14ac:dyDescent="0.25">
      <c r="E248" s="63">
        <v>245</v>
      </c>
      <c r="F248" s="33">
        <f t="shared" si="42"/>
        <v>1385.5595478245673</v>
      </c>
      <c r="G248" s="33">
        <f t="shared" si="43"/>
        <v>151.68341271080382</v>
      </c>
      <c r="H248" s="33">
        <f t="shared" si="47"/>
        <v>102114.54374287291</v>
      </c>
      <c r="I248" s="33">
        <f t="shared" si="48"/>
        <v>1233.8761351137634</v>
      </c>
      <c r="J248" s="33">
        <f t="shared" si="49"/>
        <v>237347.54547414609</v>
      </c>
      <c r="K248" s="33">
        <f t="shared" si="50"/>
        <v>71952.454525853711</v>
      </c>
      <c r="L248" s="67"/>
    </row>
    <row r="249" spans="5:12" x14ac:dyDescent="0.25">
      <c r="E249" s="63">
        <v>246</v>
      </c>
      <c r="F249" s="33">
        <f t="shared" si="42"/>
        <v>1385.5595478245673</v>
      </c>
      <c r="G249" s="33">
        <f t="shared" si="43"/>
        <v>149.12612446658952</v>
      </c>
      <c r="H249" s="33">
        <f t="shared" si="47"/>
        <v>102263.6698673395</v>
      </c>
      <c r="I249" s="33">
        <f t="shared" si="48"/>
        <v>1236.4334233579777</v>
      </c>
      <c r="J249" s="33">
        <f t="shared" si="49"/>
        <v>238583.97889750407</v>
      </c>
      <c r="K249" s="33">
        <f t="shared" si="50"/>
        <v>70716.021102495739</v>
      </c>
      <c r="L249" s="67"/>
    </row>
    <row r="250" spans="5:12" x14ac:dyDescent="0.25">
      <c r="E250" s="63">
        <v>247</v>
      </c>
      <c r="F250" s="33">
        <f t="shared" si="42"/>
        <v>1385.5595478245673</v>
      </c>
      <c r="G250" s="33">
        <f t="shared" si="43"/>
        <v>146.56353607677886</v>
      </c>
      <c r="H250" s="33">
        <f t="shared" si="47"/>
        <v>102410.23340341628</v>
      </c>
      <c r="I250" s="33">
        <f t="shared" si="48"/>
        <v>1238.9960117477885</v>
      </c>
      <c r="J250" s="33">
        <f t="shared" si="49"/>
        <v>239822.97490925185</v>
      </c>
      <c r="K250" s="33">
        <f t="shared" si="50"/>
        <v>69477.025090747949</v>
      </c>
      <c r="L250" s="67"/>
    </row>
    <row r="251" spans="5:12" x14ac:dyDescent="0.25">
      <c r="E251" s="63">
        <v>248</v>
      </c>
      <c r="F251" s="33">
        <f t="shared" si="42"/>
        <v>1385.5595478245673</v>
      </c>
      <c r="G251" s="33">
        <f t="shared" si="43"/>
        <v>143.9956365564766</v>
      </c>
      <c r="H251" s="33">
        <f t="shared" si="47"/>
        <v>102554.22903997275</v>
      </c>
      <c r="I251" s="33">
        <f t="shared" si="48"/>
        <v>1241.5639112680906</v>
      </c>
      <c r="J251" s="33">
        <f t="shared" si="49"/>
        <v>241064.53882051993</v>
      </c>
      <c r="K251" s="33">
        <f t="shared" si="50"/>
        <v>68235.461179479855</v>
      </c>
      <c r="L251" s="67"/>
    </row>
    <row r="252" spans="5:12" x14ac:dyDescent="0.25">
      <c r="E252" s="63">
        <v>249</v>
      </c>
      <c r="F252" s="33">
        <f t="shared" si="42"/>
        <v>1385.5595478245673</v>
      </c>
      <c r="G252" s="33">
        <f t="shared" si="43"/>
        <v>141.42241489802069</v>
      </c>
      <c r="H252" s="33">
        <f t="shared" si="47"/>
        <v>102695.65145487076</v>
      </c>
      <c r="I252" s="33">
        <f t="shared" si="48"/>
        <v>1244.1371329265467</v>
      </c>
      <c r="J252" s="33">
        <f t="shared" si="49"/>
        <v>242308.67595344648</v>
      </c>
      <c r="K252" s="33">
        <f t="shared" si="50"/>
        <v>66991.324046553302</v>
      </c>
      <c r="L252" s="67"/>
    </row>
    <row r="253" spans="5:12" x14ac:dyDescent="0.25">
      <c r="E253" s="63">
        <v>250</v>
      </c>
      <c r="F253" s="33">
        <f t="shared" si="42"/>
        <v>1385.5595478245673</v>
      </c>
      <c r="G253" s="33">
        <f t="shared" si="43"/>
        <v>138.84386007093488</v>
      </c>
      <c r="H253" s="33">
        <f t="shared" si="47"/>
        <v>102834.4953149417</v>
      </c>
      <c r="I253" s="33">
        <f t="shared" si="48"/>
        <v>1246.7156877536324</v>
      </c>
      <c r="J253" s="33">
        <f t="shared" si="49"/>
        <v>243555.39164120011</v>
      </c>
      <c r="K253" s="33">
        <f t="shared" si="50"/>
        <v>65744.608358799669</v>
      </c>
      <c r="L253" s="67"/>
    </row>
    <row r="254" spans="5:12" x14ac:dyDescent="0.25">
      <c r="E254" s="63">
        <v>251</v>
      </c>
      <c r="F254" s="33">
        <f t="shared" si="42"/>
        <v>1385.5595478245673</v>
      </c>
      <c r="G254" s="33">
        <f t="shared" si="43"/>
        <v>136.25996102188168</v>
      </c>
      <c r="H254" s="33">
        <f t="shared" si="47"/>
        <v>102970.75527596357</v>
      </c>
      <c r="I254" s="33">
        <f t="shared" si="48"/>
        <v>1249.2995868026856</v>
      </c>
      <c r="J254" s="33">
        <f t="shared" si="49"/>
        <v>244804.6912280028</v>
      </c>
      <c r="K254" s="33">
        <f t="shared" si="50"/>
        <v>64495.308771996984</v>
      </c>
      <c r="L254" s="67"/>
    </row>
    <row r="255" spans="5:12" x14ac:dyDescent="0.25">
      <c r="E255" s="63">
        <v>252</v>
      </c>
      <c r="F255" s="33">
        <f t="shared" si="42"/>
        <v>1385.5595478245673</v>
      </c>
      <c r="G255" s="33">
        <f t="shared" si="43"/>
        <v>133.67070667461471</v>
      </c>
      <c r="H255" s="33">
        <f t="shared" si="47"/>
        <v>103104.42598263819</v>
      </c>
      <c r="I255" s="33">
        <f t="shared" si="48"/>
        <v>1251.8888411499527</v>
      </c>
      <c r="J255" s="33">
        <f t="shared" si="49"/>
        <v>246056.58006915275</v>
      </c>
      <c r="K255" s="33">
        <f t="shared" si="50"/>
        <v>63243.419930847034</v>
      </c>
      <c r="L255" s="33">
        <f t="shared" ref="L255" si="52">K255</f>
        <v>63243.419930847034</v>
      </c>
    </row>
    <row r="256" spans="5:12" x14ac:dyDescent="0.25">
      <c r="E256" s="63">
        <v>253</v>
      </c>
      <c r="F256" s="33">
        <f t="shared" si="42"/>
        <v>1385.5595478245673</v>
      </c>
      <c r="G256" s="33">
        <f t="shared" si="43"/>
        <v>131.07608592993139</v>
      </c>
      <c r="H256" s="33">
        <f t="shared" si="47"/>
        <v>103235.50206856812</v>
      </c>
      <c r="I256" s="33">
        <f t="shared" si="48"/>
        <v>1254.4834618946359</v>
      </c>
      <c r="J256" s="33">
        <f t="shared" si="49"/>
        <v>247311.0635310474</v>
      </c>
      <c r="K256" s="33">
        <f t="shared" si="50"/>
        <v>61988.936468952401</v>
      </c>
      <c r="L256" s="67"/>
    </row>
    <row r="257" spans="5:12" x14ac:dyDescent="0.25">
      <c r="E257" s="63">
        <v>254</v>
      </c>
      <c r="F257" s="33">
        <f t="shared" si="42"/>
        <v>1385.5595478245673</v>
      </c>
      <c r="G257" s="33">
        <f t="shared" si="43"/>
        <v>128.47608766562539</v>
      </c>
      <c r="H257" s="33">
        <f t="shared" si="47"/>
        <v>103363.97815623374</v>
      </c>
      <c r="I257" s="33">
        <f t="shared" si="48"/>
        <v>1257.083460158942</v>
      </c>
      <c r="J257" s="33">
        <f t="shared" si="49"/>
        <v>248568.14699120633</v>
      </c>
      <c r="K257" s="33">
        <f t="shared" si="50"/>
        <v>60731.853008793456</v>
      </c>
      <c r="L257" s="67"/>
    </row>
    <row r="258" spans="5:12" x14ac:dyDescent="0.25">
      <c r="E258" s="63">
        <v>255</v>
      </c>
      <c r="F258" s="33">
        <f t="shared" si="42"/>
        <v>1385.5595478245673</v>
      </c>
      <c r="G258" s="33">
        <f t="shared" si="43"/>
        <v>125.87070073643876</v>
      </c>
      <c r="H258" s="33">
        <f t="shared" si="47"/>
        <v>103489.84885697019</v>
      </c>
      <c r="I258" s="33">
        <f t="shared" si="48"/>
        <v>1259.6888470881286</v>
      </c>
      <c r="J258" s="33">
        <f t="shared" si="49"/>
        <v>249827.83583829447</v>
      </c>
      <c r="K258" s="33">
        <f t="shared" si="50"/>
        <v>59472.164161705325</v>
      </c>
      <c r="L258" s="67"/>
    </row>
    <row r="259" spans="5:12" x14ac:dyDescent="0.25">
      <c r="E259" s="63">
        <v>256</v>
      </c>
      <c r="F259" s="33">
        <f t="shared" si="42"/>
        <v>1385.5595478245673</v>
      </c>
      <c r="G259" s="33">
        <f t="shared" si="43"/>
        <v>123.25991397401441</v>
      </c>
      <c r="H259" s="33">
        <f t="shared" si="47"/>
        <v>103613.10877094421</v>
      </c>
      <c r="I259" s="33">
        <f t="shared" si="48"/>
        <v>1262.2996338505529</v>
      </c>
      <c r="J259" s="33">
        <f t="shared" si="49"/>
        <v>251090.13547214502</v>
      </c>
      <c r="K259" s="33">
        <f t="shared" si="50"/>
        <v>58209.86452785477</v>
      </c>
      <c r="L259" s="67"/>
    </row>
    <row r="260" spans="5:12" x14ac:dyDescent="0.25">
      <c r="E260" s="63">
        <v>257</v>
      </c>
      <c r="F260" s="33">
        <f t="shared" ref="F260:F303" si="53">VERSEMENT_MENSUEL</f>
        <v>1385.5595478245673</v>
      </c>
      <c r="G260" s="33">
        <f t="shared" ref="G260:G303" si="54">K259*INTERET_MOIS</f>
        <v>120.64371618684802</v>
      </c>
      <c r="H260" s="33">
        <f t="shared" si="47"/>
        <v>103733.75248713106</v>
      </c>
      <c r="I260" s="33">
        <f t="shared" si="48"/>
        <v>1264.9158316377193</v>
      </c>
      <c r="J260" s="33">
        <f t="shared" si="49"/>
        <v>252355.05130378273</v>
      </c>
      <c r="K260" s="33">
        <f t="shared" si="50"/>
        <v>56944.948696217049</v>
      </c>
      <c r="L260" s="67"/>
    </row>
    <row r="261" spans="5:12" x14ac:dyDescent="0.25">
      <c r="E261" s="63">
        <v>258</v>
      </c>
      <c r="F261" s="33">
        <f t="shared" si="53"/>
        <v>1385.5595478245673</v>
      </c>
      <c r="G261" s="33">
        <f t="shared" si="54"/>
        <v>118.02209616024021</v>
      </c>
      <c r="H261" s="33">
        <f t="shared" si="47"/>
        <v>103851.77458329131</v>
      </c>
      <c r="I261" s="33">
        <f t="shared" si="48"/>
        <v>1267.5374516643271</v>
      </c>
      <c r="J261" s="33">
        <f t="shared" si="49"/>
        <v>253622.58875544707</v>
      </c>
      <c r="K261" s="33">
        <f t="shared" si="50"/>
        <v>55677.411244552721</v>
      </c>
      <c r="L261" s="67"/>
    </row>
    <row r="262" spans="5:12" x14ac:dyDescent="0.25">
      <c r="E262" s="63">
        <v>259</v>
      </c>
      <c r="F262" s="33">
        <f t="shared" si="53"/>
        <v>1385.5595478245673</v>
      </c>
      <c r="G262" s="33">
        <f t="shared" si="54"/>
        <v>115.39504265624836</v>
      </c>
      <c r="H262" s="33">
        <f t="shared" si="47"/>
        <v>103967.16962594756</v>
      </c>
      <c r="I262" s="33">
        <f t="shared" si="48"/>
        <v>1270.164505168319</v>
      </c>
      <c r="J262" s="33">
        <f t="shared" si="49"/>
        <v>254892.7532606154</v>
      </c>
      <c r="K262" s="33">
        <f t="shared" si="50"/>
        <v>54407.246739384398</v>
      </c>
      <c r="L262" s="67"/>
    </row>
    <row r="263" spans="5:12" x14ac:dyDescent="0.25">
      <c r="E263" s="63">
        <v>260</v>
      </c>
      <c r="F263" s="33">
        <f t="shared" si="53"/>
        <v>1385.5595478245673</v>
      </c>
      <c r="G263" s="33">
        <f t="shared" si="54"/>
        <v>112.76254441363851</v>
      </c>
      <c r="H263" s="33">
        <f t="shared" si="47"/>
        <v>104079.93217036119</v>
      </c>
      <c r="I263" s="33">
        <f t="shared" si="48"/>
        <v>1272.7970034109287</v>
      </c>
      <c r="J263" s="33">
        <f t="shared" si="49"/>
        <v>256165.55026402633</v>
      </c>
      <c r="K263" s="33">
        <f t="shared" si="50"/>
        <v>53134.449735973467</v>
      </c>
      <c r="L263" s="67"/>
    </row>
    <row r="264" spans="5:12" x14ac:dyDescent="0.25">
      <c r="E264" s="63">
        <v>261</v>
      </c>
      <c r="F264" s="33">
        <f t="shared" si="53"/>
        <v>1385.5595478245673</v>
      </c>
      <c r="G264" s="33">
        <f t="shared" si="54"/>
        <v>110.12459014783705</v>
      </c>
      <c r="H264" s="33">
        <f t="shared" si="47"/>
        <v>104190.05676050903</v>
      </c>
      <c r="I264" s="33">
        <f t="shared" si="48"/>
        <v>1275.4349576767302</v>
      </c>
      <c r="J264" s="33">
        <f t="shared" si="49"/>
        <v>257440.98522170307</v>
      </c>
      <c r="K264" s="33">
        <f t="shared" si="50"/>
        <v>51859.01477829674</v>
      </c>
      <c r="L264" s="67"/>
    </row>
    <row r="265" spans="5:12" x14ac:dyDescent="0.25">
      <c r="E265" s="63">
        <v>262</v>
      </c>
      <c r="F265" s="33">
        <f t="shared" si="53"/>
        <v>1385.5595478245673</v>
      </c>
      <c r="G265" s="33">
        <f t="shared" si="54"/>
        <v>107.4811685508824</v>
      </c>
      <c r="H265" s="33">
        <f t="shared" si="47"/>
        <v>104297.53792905991</v>
      </c>
      <c r="I265" s="33">
        <f t="shared" si="48"/>
        <v>1278.078379273685</v>
      </c>
      <c r="J265" s="33">
        <f t="shared" si="49"/>
        <v>258719.06360097675</v>
      </c>
      <c r="K265" s="33">
        <f t="shared" si="50"/>
        <v>50580.936399023056</v>
      </c>
      <c r="L265" s="67"/>
    </row>
    <row r="266" spans="5:12" x14ac:dyDescent="0.25">
      <c r="E266" s="63">
        <v>263</v>
      </c>
      <c r="F266" s="33">
        <f t="shared" si="53"/>
        <v>1385.5595478245673</v>
      </c>
      <c r="G266" s="33">
        <f t="shared" si="54"/>
        <v>104.83226829137645</v>
      </c>
      <c r="H266" s="33">
        <f t="shared" si="47"/>
        <v>104402.37019735128</v>
      </c>
      <c r="I266" s="33">
        <f t="shared" si="48"/>
        <v>1280.7272795331908</v>
      </c>
      <c r="J266" s="33">
        <f t="shared" si="49"/>
        <v>259999.79088050994</v>
      </c>
      <c r="K266" s="33">
        <f t="shared" si="50"/>
        <v>49300.209119489868</v>
      </c>
      <c r="L266" s="67"/>
    </row>
    <row r="267" spans="5:12" x14ac:dyDescent="0.25">
      <c r="E267" s="63">
        <v>264</v>
      </c>
      <c r="F267" s="33">
        <f t="shared" si="53"/>
        <v>1385.5595478245673</v>
      </c>
      <c r="G267" s="33">
        <f t="shared" si="54"/>
        <v>102.17787801443605</v>
      </c>
      <c r="H267" s="33">
        <f t="shared" si="47"/>
        <v>104504.54807536572</v>
      </c>
      <c r="I267" s="33">
        <f t="shared" si="48"/>
        <v>1283.3816698101311</v>
      </c>
      <c r="J267" s="33">
        <f t="shared" si="49"/>
        <v>261283.17255032007</v>
      </c>
      <c r="K267" s="33">
        <f t="shared" si="50"/>
        <v>48016.827449679738</v>
      </c>
      <c r="L267" s="33">
        <f t="shared" ref="L267" si="55">K267</f>
        <v>48016.827449679738</v>
      </c>
    </row>
    <row r="268" spans="5:12" x14ac:dyDescent="0.25">
      <c r="E268" s="63">
        <v>265</v>
      </c>
      <c r="F268" s="33">
        <f t="shared" si="53"/>
        <v>1385.5595478245673</v>
      </c>
      <c r="G268" s="33">
        <f t="shared" si="54"/>
        <v>99.517986341644303</v>
      </c>
      <c r="H268" s="33">
        <f t="shared" si="47"/>
        <v>104604.06606170736</v>
      </c>
      <c r="I268" s="33">
        <f t="shared" si="48"/>
        <v>1286.041561482923</v>
      </c>
      <c r="J268" s="33">
        <f t="shared" si="49"/>
        <v>262569.21411180298</v>
      </c>
      <c r="K268" s="33">
        <f t="shared" si="50"/>
        <v>46730.785888196813</v>
      </c>
      <c r="L268" s="67"/>
    </row>
    <row r="269" spans="5:12" x14ac:dyDescent="0.25">
      <c r="E269" s="63">
        <v>266</v>
      </c>
      <c r="F269" s="33">
        <f t="shared" si="53"/>
        <v>1385.5595478245673</v>
      </c>
      <c r="G269" s="33">
        <f t="shared" si="54"/>
        <v>96.852581871001831</v>
      </c>
      <c r="H269" s="33">
        <f t="shared" si="47"/>
        <v>104700.91864357836</v>
      </c>
      <c r="I269" s="33">
        <f t="shared" si="48"/>
        <v>1288.7069659535655</v>
      </c>
      <c r="J269" s="33">
        <f t="shared" si="49"/>
        <v>263857.92107775656</v>
      </c>
      <c r="K269" s="33">
        <f t="shared" si="50"/>
        <v>45442.07892224325</v>
      </c>
      <c r="L269" s="67"/>
    </row>
    <row r="270" spans="5:12" x14ac:dyDescent="0.25">
      <c r="E270" s="63">
        <v>267</v>
      </c>
      <c r="F270" s="33">
        <f t="shared" si="53"/>
        <v>1385.5595478245673</v>
      </c>
      <c r="G270" s="33">
        <f t="shared" si="54"/>
        <v>94.181653176877873</v>
      </c>
      <c r="H270" s="33">
        <f t="shared" si="47"/>
        <v>104795.10029675523</v>
      </c>
      <c r="I270" s="33">
        <f t="shared" si="48"/>
        <v>1291.3778946476893</v>
      </c>
      <c r="J270" s="33">
        <f t="shared" si="49"/>
        <v>265149.29897240427</v>
      </c>
      <c r="K270" s="33">
        <f t="shared" si="50"/>
        <v>44150.701027595562</v>
      </c>
      <c r="L270" s="67"/>
    </row>
    <row r="271" spans="5:12" x14ac:dyDescent="0.25">
      <c r="E271" s="63">
        <v>268</v>
      </c>
      <c r="F271" s="33">
        <f t="shared" si="53"/>
        <v>1385.5595478245673</v>
      </c>
      <c r="G271" s="33">
        <f t="shared" si="54"/>
        <v>91.505188809961282</v>
      </c>
      <c r="H271" s="33">
        <f t="shared" si="47"/>
        <v>104886.60548556519</v>
      </c>
      <c r="I271" s="33">
        <f t="shared" si="48"/>
        <v>1294.054359014606</v>
      </c>
      <c r="J271" s="33">
        <f t="shared" si="49"/>
        <v>266443.35333141888</v>
      </c>
      <c r="K271" s="33">
        <f t="shared" si="50"/>
        <v>42856.646668580957</v>
      </c>
      <c r="L271" s="67"/>
    </row>
    <row r="272" spans="5:12" x14ac:dyDescent="0.25">
      <c r="E272" s="63">
        <v>269</v>
      </c>
      <c r="F272" s="33">
        <f t="shared" si="53"/>
        <v>1385.5595478245673</v>
      </c>
      <c r="G272" s="33">
        <f t="shared" si="54"/>
        <v>88.823177297211501</v>
      </c>
      <c r="H272" s="33">
        <f t="shared" si="47"/>
        <v>104975.4286628624</v>
      </c>
      <c r="I272" s="33">
        <f t="shared" si="48"/>
        <v>1296.7363705273558</v>
      </c>
      <c r="J272" s="33">
        <f t="shared" si="49"/>
        <v>267740.08970194624</v>
      </c>
      <c r="K272" s="33">
        <f t="shared" si="50"/>
        <v>41559.910298053604</v>
      </c>
      <c r="L272" s="67"/>
    </row>
    <row r="273" spans="5:12" x14ac:dyDescent="0.25">
      <c r="E273" s="63">
        <v>270</v>
      </c>
      <c r="F273" s="33">
        <f t="shared" si="53"/>
        <v>1385.5595478245673</v>
      </c>
      <c r="G273" s="33">
        <f t="shared" si="54"/>
        <v>86.135607141809345</v>
      </c>
      <c r="H273" s="33">
        <f t="shared" si="47"/>
        <v>105061.56427000421</v>
      </c>
      <c r="I273" s="33">
        <f t="shared" si="48"/>
        <v>1299.423940682758</v>
      </c>
      <c r="J273" s="33">
        <f t="shared" si="49"/>
        <v>269039.51364262903</v>
      </c>
      <c r="K273" s="33">
        <f t="shared" si="50"/>
        <v>40260.48635737085</v>
      </c>
      <c r="L273" s="67"/>
    </row>
    <row r="274" spans="5:12" x14ac:dyDescent="0.25">
      <c r="E274" s="63">
        <v>271</v>
      </c>
      <c r="F274" s="33">
        <f t="shared" si="53"/>
        <v>1385.5595478245673</v>
      </c>
      <c r="G274" s="33">
        <f t="shared" si="54"/>
        <v>83.442466823107708</v>
      </c>
      <c r="H274" s="33">
        <f t="shared" si="47"/>
        <v>105145.00673682732</v>
      </c>
      <c r="I274" s="33">
        <f t="shared" si="48"/>
        <v>1302.1170810014596</v>
      </c>
      <c r="J274" s="33">
        <f t="shared" si="49"/>
        <v>270341.63072363049</v>
      </c>
      <c r="K274" s="33">
        <f t="shared" si="50"/>
        <v>38958.369276369391</v>
      </c>
      <c r="L274" s="67"/>
    </row>
    <row r="275" spans="5:12" x14ac:dyDescent="0.25">
      <c r="E275" s="63">
        <v>272</v>
      </c>
      <c r="F275" s="33">
        <f t="shared" si="53"/>
        <v>1385.5595478245673</v>
      </c>
      <c r="G275" s="33">
        <f t="shared" si="54"/>
        <v>80.743744796582206</v>
      </c>
      <c r="H275" s="33">
        <f t="shared" si="47"/>
        <v>105225.75048162389</v>
      </c>
      <c r="I275" s="33">
        <f t="shared" si="48"/>
        <v>1304.8158030279851</v>
      </c>
      <c r="J275" s="33">
        <f t="shared" si="49"/>
        <v>271646.44652665849</v>
      </c>
      <c r="K275" s="33">
        <f t="shared" si="50"/>
        <v>37653.553473341402</v>
      </c>
      <c r="L275" s="67"/>
    </row>
    <row r="276" spans="5:12" x14ac:dyDescent="0.25">
      <c r="E276" s="63">
        <v>273</v>
      </c>
      <c r="F276" s="33">
        <f t="shared" si="53"/>
        <v>1385.5595478245673</v>
      </c>
      <c r="G276" s="33">
        <f t="shared" si="54"/>
        <v>78.039429493781682</v>
      </c>
      <c r="H276" s="33">
        <f t="shared" si="47"/>
        <v>105303.78991111768</v>
      </c>
      <c r="I276" s="33">
        <f t="shared" si="48"/>
        <v>1307.5201183307856</v>
      </c>
      <c r="J276" s="33">
        <f t="shared" si="49"/>
        <v>272953.96664498927</v>
      </c>
      <c r="K276" s="33">
        <f t="shared" si="50"/>
        <v>36346.033355010615</v>
      </c>
      <c r="L276" s="67"/>
    </row>
    <row r="277" spans="5:12" x14ac:dyDescent="0.25">
      <c r="E277" s="63">
        <v>274</v>
      </c>
      <c r="F277" s="33">
        <f t="shared" si="53"/>
        <v>1385.5595478245673</v>
      </c>
      <c r="G277" s="33">
        <f t="shared" si="54"/>
        <v>75.329509322278639</v>
      </c>
      <c r="H277" s="33">
        <f t="shared" si="47"/>
        <v>105379.11942043997</v>
      </c>
      <c r="I277" s="33">
        <f t="shared" si="48"/>
        <v>1310.2300385022886</v>
      </c>
      <c r="J277" s="33">
        <f t="shared" si="49"/>
        <v>274264.19668349158</v>
      </c>
      <c r="K277" s="33">
        <f t="shared" si="50"/>
        <v>35035.803316508325</v>
      </c>
      <c r="L277" s="67"/>
    </row>
    <row r="278" spans="5:12" x14ac:dyDescent="0.25">
      <c r="E278" s="63">
        <v>275</v>
      </c>
      <c r="F278" s="33">
        <f t="shared" si="53"/>
        <v>1385.5595478245673</v>
      </c>
      <c r="G278" s="33">
        <f t="shared" si="54"/>
        <v>72.613972665619485</v>
      </c>
      <c r="H278" s="33">
        <f t="shared" si="47"/>
        <v>105451.73339310559</v>
      </c>
      <c r="I278" s="33">
        <f t="shared" si="48"/>
        <v>1312.9455751589478</v>
      </c>
      <c r="J278" s="33">
        <f t="shared" si="49"/>
        <v>275577.14225865051</v>
      </c>
      <c r="K278" s="33">
        <f t="shared" si="50"/>
        <v>33722.857741349377</v>
      </c>
      <c r="L278" s="67"/>
    </row>
    <row r="279" spans="5:12" x14ac:dyDescent="0.25">
      <c r="E279" s="63">
        <v>276</v>
      </c>
      <c r="F279" s="33">
        <f t="shared" si="53"/>
        <v>1385.5595478245673</v>
      </c>
      <c r="G279" s="33">
        <f t="shared" si="54"/>
        <v>69.892807883274784</v>
      </c>
      <c r="H279" s="33">
        <f t="shared" si="47"/>
        <v>105521.62620098886</v>
      </c>
      <c r="I279" s="33">
        <f t="shared" si="48"/>
        <v>1315.6667399412925</v>
      </c>
      <c r="J279" s="33">
        <f t="shared" si="49"/>
        <v>276892.80899859179</v>
      </c>
      <c r="K279" s="33">
        <f t="shared" si="50"/>
        <v>32407.191001408086</v>
      </c>
      <c r="L279" s="33">
        <f t="shared" ref="L279" si="56">K279</f>
        <v>32407.191001408086</v>
      </c>
    </row>
    <row r="280" spans="5:12" x14ac:dyDescent="0.25">
      <c r="E280" s="63">
        <v>277</v>
      </c>
      <c r="F280" s="33">
        <f t="shared" si="53"/>
        <v>1385.5595478245673</v>
      </c>
      <c r="G280" s="33">
        <f t="shared" si="54"/>
        <v>67.166003310589375</v>
      </c>
      <c r="H280" s="33">
        <f t="shared" si="47"/>
        <v>105588.79220429945</v>
      </c>
      <c r="I280" s="33">
        <f t="shared" si="48"/>
        <v>1318.393544513978</v>
      </c>
      <c r="J280" s="33">
        <f t="shared" si="49"/>
        <v>278211.20254310576</v>
      </c>
      <c r="K280" s="33">
        <f t="shared" si="50"/>
        <v>31088.797456894106</v>
      </c>
      <c r="L280" s="67"/>
    </row>
    <row r="281" spans="5:12" x14ac:dyDescent="0.25">
      <c r="E281" s="63">
        <v>278</v>
      </c>
      <c r="F281" s="33">
        <f t="shared" si="53"/>
        <v>1385.5595478245673</v>
      </c>
      <c r="G281" s="33">
        <f t="shared" si="54"/>
        <v>64.433547258732304</v>
      </c>
      <c r="H281" s="33">
        <f t="shared" si="47"/>
        <v>105653.22575155817</v>
      </c>
      <c r="I281" s="33">
        <f t="shared" si="48"/>
        <v>1321.1260005658351</v>
      </c>
      <c r="J281" s="33">
        <f t="shared" si="49"/>
        <v>279532.32854367158</v>
      </c>
      <c r="K281" s="33">
        <f t="shared" si="50"/>
        <v>29767.671456328273</v>
      </c>
      <c r="L281" s="67"/>
    </row>
    <row r="282" spans="5:12" x14ac:dyDescent="0.25">
      <c r="E282" s="63">
        <v>279</v>
      </c>
      <c r="F282" s="33">
        <f t="shared" si="53"/>
        <v>1385.5595478245673</v>
      </c>
      <c r="G282" s="33">
        <f t="shared" si="54"/>
        <v>61.695428014646787</v>
      </c>
      <c r="H282" s="33">
        <f t="shared" si="47"/>
        <v>105714.92117957282</v>
      </c>
      <c r="I282" s="33">
        <f t="shared" si="48"/>
        <v>1323.8641198099206</v>
      </c>
      <c r="J282" s="33">
        <f t="shared" si="49"/>
        <v>280856.19266348152</v>
      </c>
      <c r="K282" s="33">
        <f t="shared" si="50"/>
        <v>28443.807336518352</v>
      </c>
      <c r="L282" s="67"/>
    </row>
    <row r="283" spans="5:12" x14ac:dyDescent="0.25">
      <c r="E283" s="63">
        <v>280</v>
      </c>
      <c r="F283" s="33">
        <f t="shared" si="53"/>
        <v>1385.5595478245673</v>
      </c>
      <c r="G283" s="33">
        <f t="shared" si="54"/>
        <v>58.951633840999946</v>
      </c>
      <c r="H283" s="33">
        <f t="shared" si="47"/>
        <v>105773.87281341382</v>
      </c>
      <c r="I283" s="33">
        <f t="shared" si="48"/>
        <v>1326.6079139835674</v>
      </c>
      <c r="J283" s="33">
        <f t="shared" si="49"/>
        <v>282182.8005774651</v>
      </c>
      <c r="K283" s="33">
        <f t="shared" si="50"/>
        <v>27117.199422534784</v>
      </c>
      <c r="L283" s="67"/>
    </row>
    <row r="284" spans="5:12" x14ac:dyDescent="0.25">
      <c r="E284" s="63">
        <v>281</v>
      </c>
      <c r="F284" s="33">
        <f t="shared" si="53"/>
        <v>1385.5595478245673</v>
      </c>
      <c r="G284" s="33">
        <f t="shared" si="54"/>
        <v>56.202152976132552</v>
      </c>
      <c r="H284" s="33">
        <f t="shared" si="47"/>
        <v>105830.07496638995</v>
      </c>
      <c r="I284" s="33">
        <f t="shared" si="48"/>
        <v>1329.3573948484348</v>
      </c>
      <c r="J284" s="33">
        <f t="shared" si="49"/>
        <v>283512.15797231352</v>
      </c>
      <c r="K284" s="33">
        <f t="shared" si="50"/>
        <v>25787.842027686351</v>
      </c>
      <c r="L284" s="67"/>
    </row>
    <row r="285" spans="5:12" x14ac:dyDescent="0.25">
      <c r="E285" s="63">
        <v>282</v>
      </c>
      <c r="F285" s="33">
        <f t="shared" si="53"/>
        <v>1385.5595478245673</v>
      </c>
      <c r="G285" s="33">
        <f t="shared" si="54"/>
        <v>53.44697363400855</v>
      </c>
      <c r="H285" s="33">
        <f t="shared" si="47"/>
        <v>105883.52194002396</v>
      </c>
      <c r="I285" s="33">
        <f t="shared" si="48"/>
        <v>1332.1125741905587</v>
      </c>
      <c r="J285" s="33">
        <f t="shared" si="49"/>
        <v>284844.27054650406</v>
      </c>
      <c r="K285" s="33">
        <f t="shared" si="50"/>
        <v>24455.729453495791</v>
      </c>
      <c r="L285" s="67"/>
    </row>
    <row r="286" spans="5:12" x14ac:dyDescent="0.25">
      <c r="E286" s="63">
        <v>283</v>
      </c>
      <c r="F286" s="33">
        <f t="shared" si="53"/>
        <v>1385.5595478245673</v>
      </c>
      <c r="G286" s="33">
        <f t="shared" si="54"/>
        <v>50.68608400416457</v>
      </c>
      <c r="H286" s="33">
        <f t="shared" si="47"/>
        <v>105934.20802402812</v>
      </c>
      <c r="I286" s="33">
        <f t="shared" si="48"/>
        <v>1334.8734638204028</v>
      </c>
      <c r="J286" s="33">
        <f t="shared" si="49"/>
        <v>286179.14401032444</v>
      </c>
      <c r="K286" s="33">
        <f t="shared" si="50"/>
        <v>23120.855989675387</v>
      </c>
      <c r="L286" s="67"/>
    </row>
    <row r="287" spans="5:12" x14ac:dyDescent="0.25">
      <c r="E287" s="63">
        <v>284</v>
      </c>
      <c r="F287" s="33">
        <f t="shared" si="53"/>
        <v>1385.5595478245673</v>
      </c>
      <c r="G287" s="33">
        <f t="shared" si="54"/>
        <v>47.919472251659286</v>
      </c>
      <c r="H287" s="33">
        <f t="shared" si="47"/>
        <v>105982.12749627978</v>
      </c>
      <c r="I287" s="33">
        <f t="shared" si="48"/>
        <v>1337.640075572908</v>
      </c>
      <c r="J287" s="33">
        <f t="shared" si="49"/>
        <v>287516.78408589732</v>
      </c>
      <c r="K287" s="33">
        <f t="shared" si="50"/>
        <v>21783.215914102479</v>
      </c>
      <c r="L287" s="67"/>
    </row>
    <row r="288" spans="5:12" x14ac:dyDescent="0.25">
      <c r="E288" s="63">
        <v>285</v>
      </c>
      <c r="F288" s="33">
        <f t="shared" si="53"/>
        <v>1385.5595478245673</v>
      </c>
      <c r="G288" s="33">
        <f t="shared" si="54"/>
        <v>45.147126517022691</v>
      </c>
      <c r="H288" s="33">
        <f t="shared" si="47"/>
        <v>106027.2746227968</v>
      </c>
      <c r="I288" s="33">
        <f t="shared" si="48"/>
        <v>1340.4124213075445</v>
      </c>
      <c r="J288" s="33">
        <f t="shared" si="49"/>
        <v>288857.19650720485</v>
      </c>
      <c r="K288" s="33">
        <f t="shared" si="50"/>
        <v>20442.803492794934</v>
      </c>
      <c r="L288" s="67"/>
    </row>
    <row r="289" spans="5:12" x14ac:dyDescent="0.25">
      <c r="E289" s="63">
        <v>286</v>
      </c>
      <c r="F289" s="33">
        <f t="shared" si="53"/>
        <v>1385.5595478245673</v>
      </c>
      <c r="G289" s="33">
        <f t="shared" si="54"/>
        <v>42.369034916205273</v>
      </c>
      <c r="H289" s="33">
        <f t="shared" si="47"/>
        <v>106069.64365771301</v>
      </c>
      <c r="I289" s="33">
        <f t="shared" si="48"/>
        <v>1343.1905129083621</v>
      </c>
      <c r="J289" s="33">
        <f t="shared" si="49"/>
        <v>290200.38702011324</v>
      </c>
      <c r="K289" s="33">
        <f t="shared" si="50"/>
        <v>19099.612979886573</v>
      </c>
      <c r="L289" s="67"/>
    </row>
    <row r="290" spans="5:12" x14ac:dyDescent="0.25">
      <c r="E290" s="63">
        <v>287</v>
      </c>
      <c r="F290" s="33">
        <f t="shared" si="53"/>
        <v>1385.5595478245673</v>
      </c>
      <c r="G290" s="33">
        <f t="shared" si="54"/>
        <v>39.585185540527043</v>
      </c>
      <c r="H290" s="33">
        <f t="shared" si="47"/>
        <v>106109.22884325353</v>
      </c>
      <c r="I290" s="33">
        <f t="shared" si="48"/>
        <v>1345.9743622840404</v>
      </c>
      <c r="J290" s="33">
        <f t="shared" si="49"/>
        <v>291546.3613823973</v>
      </c>
      <c r="K290" s="33">
        <f t="shared" si="50"/>
        <v>17753.638617602533</v>
      </c>
      <c r="L290" s="67"/>
    </row>
    <row r="291" spans="5:12" x14ac:dyDescent="0.25">
      <c r="E291" s="63">
        <v>288</v>
      </c>
      <c r="F291" s="33">
        <f t="shared" si="53"/>
        <v>1385.5595478245673</v>
      </c>
      <c r="G291" s="33">
        <f t="shared" si="54"/>
        <v>36.795566456626489</v>
      </c>
      <c r="H291" s="33">
        <f t="shared" si="47"/>
        <v>106146.02440971015</v>
      </c>
      <c r="I291" s="33">
        <f t="shared" si="48"/>
        <v>1348.7639813679407</v>
      </c>
      <c r="J291" s="33">
        <f t="shared" si="49"/>
        <v>292895.12536376523</v>
      </c>
      <c r="K291" s="33">
        <f t="shared" si="50"/>
        <v>16404.874636234592</v>
      </c>
      <c r="L291" s="33">
        <f t="shared" ref="L291" si="57">K291</f>
        <v>16404.874636234592</v>
      </c>
    </row>
    <row r="292" spans="5:12" x14ac:dyDescent="0.25">
      <c r="E292" s="63">
        <v>289</v>
      </c>
      <c r="F292" s="33">
        <f t="shared" si="53"/>
        <v>1385.5595478245673</v>
      </c>
      <c r="G292" s="33">
        <f t="shared" si="54"/>
        <v>34.000165706409454</v>
      </c>
      <c r="H292" s="33">
        <f t="shared" si="47"/>
        <v>106180.02457541657</v>
      </c>
      <c r="I292" s="33">
        <f t="shared" si="48"/>
        <v>1351.5593821181578</v>
      </c>
      <c r="J292" s="33">
        <f t="shared" si="49"/>
        <v>294246.68474588339</v>
      </c>
      <c r="K292" s="33">
        <f t="shared" si="50"/>
        <v>15053.315254116435</v>
      </c>
      <c r="L292" s="67"/>
    </row>
    <row r="293" spans="5:12" x14ac:dyDescent="0.25">
      <c r="E293" s="63">
        <v>290</v>
      </c>
      <c r="F293" s="33">
        <f t="shared" si="53"/>
        <v>1385.5595478245673</v>
      </c>
      <c r="G293" s="33">
        <f t="shared" si="54"/>
        <v>31.198971306997855</v>
      </c>
      <c r="H293" s="33">
        <f t="shared" si="47"/>
        <v>106211.22354672356</v>
      </c>
      <c r="I293" s="33">
        <f t="shared" si="48"/>
        <v>1354.3605765175694</v>
      </c>
      <c r="J293" s="33">
        <f t="shared" si="49"/>
        <v>295601.04532240098</v>
      </c>
      <c r="K293" s="33">
        <f t="shared" si="50"/>
        <v>13698.954677598866</v>
      </c>
      <c r="L293" s="67"/>
    </row>
    <row r="294" spans="5:12" x14ac:dyDescent="0.25">
      <c r="E294" s="63">
        <v>291</v>
      </c>
      <c r="F294" s="33">
        <f t="shared" si="53"/>
        <v>1385.5595478245673</v>
      </c>
      <c r="G294" s="33">
        <f t="shared" si="54"/>
        <v>28.39197125067831</v>
      </c>
      <c r="H294" s="33">
        <f t="shared" si="47"/>
        <v>106239.61551797423</v>
      </c>
      <c r="I294" s="33">
        <f t="shared" si="48"/>
        <v>1357.1675765738889</v>
      </c>
      <c r="J294" s="33">
        <f t="shared" si="49"/>
        <v>296958.21289897489</v>
      </c>
      <c r="K294" s="33">
        <f t="shared" si="50"/>
        <v>12341.787101024976</v>
      </c>
      <c r="L294" s="67"/>
    </row>
    <row r="295" spans="5:12" x14ac:dyDescent="0.25">
      <c r="E295" s="63">
        <v>292</v>
      </c>
      <c r="F295" s="33">
        <f t="shared" si="53"/>
        <v>1385.5595478245673</v>
      </c>
      <c r="G295" s="33">
        <f t="shared" si="54"/>
        <v>25.579153504850673</v>
      </c>
      <c r="H295" s="33">
        <f t="shared" si="47"/>
        <v>106265.19467147908</v>
      </c>
      <c r="I295" s="33">
        <f t="shared" si="48"/>
        <v>1359.9803943197167</v>
      </c>
      <c r="J295" s="33">
        <f t="shared" si="49"/>
        <v>298318.19329329458</v>
      </c>
      <c r="K295" s="33">
        <f t="shared" si="50"/>
        <v>10981.80670670526</v>
      </c>
      <c r="L295" s="67"/>
    </row>
    <row r="296" spans="5:12" x14ac:dyDescent="0.25">
      <c r="E296" s="63">
        <v>293</v>
      </c>
      <c r="F296" s="33">
        <f t="shared" si="53"/>
        <v>1385.5595478245673</v>
      </c>
      <c r="G296" s="33">
        <f t="shared" si="54"/>
        <v>22.760506011976457</v>
      </c>
      <c r="H296" s="33">
        <f t="shared" ref="H296:H303" si="58">H295+G296</f>
        <v>106287.95517749107</v>
      </c>
      <c r="I296" s="33">
        <f t="shared" ref="I296:I303" si="59">F296-G296</f>
        <v>1362.7990418125908</v>
      </c>
      <c r="J296" s="33">
        <f t="shared" ref="J296:J302" si="60">J295+I296</f>
        <v>299680.99233510718</v>
      </c>
      <c r="K296" s="33">
        <f t="shared" ref="K296:K302" si="61">K295-I296</f>
        <v>9619.0076648926697</v>
      </c>
      <c r="L296" s="67"/>
    </row>
    <row r="297" spans="5:12" x14ac:dyDescent="0.25">
      <c r="E297" s="63">
        <v>294</v>
      </c>
      <c r="F297" s="33">
        <f t="shared" si="53"/>
        <v>1385.5595478245673</v>
      </c>
      <c r="G297" s="33">
        <f t="shared" si="54"/>
        <v>19.936016689527147</v>
      </c>
      <c r="H297" s="33">
        <f t="shared" si="58"/>
        <v>106307.89119418059</v>
      </c>
      <c r="I297" s="33">
        <f t="shared" si="59"/>
        <v>1365.6235311350401</v>
      </c>
      <c r="J297" s="33">
        <f t="shared" si="60"/>
        <v>301046.61586624221</v>
      </c>
      <c r="K297" s="33">
        <f t="shared" si="61"/>
        <v>8253.3841337576305</v>
      </c>
      <c r="L297" s="67"/>
    </row>
    <row r="298" spans="5:12" x14ac:dyDescent="0.25">
      <c r="E298" s="63">
        <v>295</v>
      </c>
      <c r="F298" s="33">
        <f t="shared" si="53"/>
        <v>1385.5595478245673</v>
      </c>
      <c r="G298" s="33">
        <f t="shared" si="54"/>
        <v>17.105673429932406</v>
      </c>
      <c r="H298" s="33">
        <f t="shared" si="58"/>
        <v>106324.99686761052</v>
      </c>
      <c r="I298" s="33">
        <f t="shared" si="59"/>
        <v>1368.4538743946348</v>
      </c>
      <c r="J298" s="33">
        <f t="shared" si="60"/>
        <v>302415.06974063686</v>
      </c>
      <c r="K298" s="33">
        <f t="shared" si="61"/>
        <v>6884.9302593629955</v>
      </c>
      <c r="L298" s="67"/>
    </row>
    <row r="299" spans="5:12" x14ac:dyDescent="0.25">
      <c r="E299" s="63">
        <v>296</v>
      </c>
      <c r="F299" s="33">
        <f t="shared" si="53"/>
        <v>1385.5595478245673</v>
      </c>
      <c r="G299" s="33">
        <f t="shared" si="54"/>
        <v>14.269464100528159</v>
      </c>
      <c r="H299" s="33">
        <f t="shared" si="58"/>
        <v>106339.26633171104</v>
      </c>
      <c r="I299" s="33">
        <f t="shared" si="59"/>
        <v>1371.2900837240391</v>
      </c>
      <c r="J299" s="33">
        <f t="shared" si="60"/>
        <v>303786.35982436087</v>
      </c>
      <c r="K299" s="33">
        <f t="shared" si="61"/>
        <v>5513.6401756389569</v>
      </c>
      <c r="L299" s="67"/>
    </row>
    <row r="300" spans="5:12" x14ac:dyDescent="0.25">
      <c r="E300" s="63">
        <v>297</v>
      </c>
      <c r="F300" s="33">
        <f t="shared" si="53"/>
        <v>1385.5595478245673</v>
      </c>
      <c r="G300" s="33">
        <f t="shared" si="54"/>
        <v>11.42737654350462</v>
      </c>
      <c r="H300" s="33">
        <f t="shared" si="58"/>
        <v>106350.69370825455</v>
      </c>
      <c r="I300" s="33">
        <f t="shared" si="59"/>
        <v>1374.1321712810627</v>
      </c>
      <c r="J300" s="33">
        <f t="shared" si="60"/>
        <v>305160.49199564196</v>
      </c>
      <c r="K300" s="33">
        <f t="shared" si="61"/>
        <v>4139.5080043578946</v>
      </c>
      <c r="L300" s="67"/>
    </row>
    <row r="301" spans="5:12" x14ac:dyDescent="0.25">
      <c r="E301" s="63">
        <v>298</v>
      </c>
      <c r="F301" s="33">
        <f t="shared" si="53"/>
        <v>1385.5595478245673</v>
      </c>
      <c r="G301" s="33">
        <f t="shared" si="54"/>
        <v>8.5793985758541371</v>
      </c>
      <c r="H301" s="33">
        <f t="shared" si="58"/>
        <v>106359.2731068304</v>
      </c>
      <c r="I301" s="33">
        <f t="shared" si="59"/>
        <v>1376.9801492487131</v>
      </c>
      <c r="J301" s="33">
        <f t="shared" si="60"/>
        <v>306537.47214489069</v>
      </c>
      <c r="K301" s="33">
        <f t="shared" si="61"/>
        <v>2762.5278551091815</v>
      </c>
      <c r="L301" s="67"/>
    </row>
    <row r="302" spans="5:12" x14ac:dyDescent="0.25">
      <c r="E302" s="63">
        <v>299</v>
      </c>
      <c r="F302" s="33">
        <f t="shared" si="53"/>
        <v>1385.5595478245673</v>
      </c>
      <c r="G302" s="33">
        <f t="shared" si="54"/>
        <v>5.7255179893189947</v>
      </c>
      <c r="H302" s="33">
        <f t="shared" si="58"/>
        <v>106364.99862481972</v>
      </c>
      <c r="I302" s="33">
        <f t="shared" si="59"/>
        <v>1379.8340298352482</v>
      </c>
      <c r="J302" s="33">
        <f t="shared" si="60"/>
        <v>307917.30617472593</v>
      </c>
      <c r="K302" s="33">
        <f t="shared" si="61"/>
        <v>1382.6938252739333</v>
      </c>
      <c r="L302" s="67"/>
    </row>
    <row r="303" spans="5:12" x14ac:dyDescent="0.25">
      <c r="E303" s="64">
        <v>300</v>
      </c>
      <c r="F303" s="34">
        <f t="shared" si="53"/>
        <v>1385.5595478245673</v>
      </c>
      <c r="G303" s="34">
        <f t="shared" si="54"/>
        <v>2.8657225503390684</v>
      </c>
      <c r="H303" s="34">
        <f t="shared" si="58"/>
        <v>106367.86434737006</v>
      </c>
      <c r="I303" s="34">
        <f t="shared" si="59"/>
        <v>1382.6938252742282</v>
      </c>
      <c r="J303" s="34">
        <f>J302+I303</f>
        <v>309300.00000000017</v>
      </c>
      <c r="K303" s="34">
        <f>K302-I303</f>
        <v>-2.9490365704987198E-10</v>
      </c>
      <c r="L303" s="34">
        <f t="shared" ref="L303" si="62">K303</f>
        <v>-2.9490365704987198E-10</v>
      </c>
    </row>
  </sheetData>
  <mergeCells count="3">
    <mergeCell ref="B2:C2"/>
    <mergeCell ref="B8:C8"/>
    <mergeCell ref="B18:C18"/>
  </mergeCells>
  <pageMargins left="0.7" right="0.7" top="0.75" bottom="0.75" header="0.3" footer="0.3"/>
  <ignoredErrors>
    <ignoredError sqref="I4" formula="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zoomScale="84" zoomScaleNormal="84" workbookViewId="0">
      <selection activeCell="B22" sqref="B22"/>
    </sheetView>
  </sheetViews>
  <sheetFormatPr baseColWidth="10" defaultRowHeight="15" x14ac:dyDescent="0.25"/>
  <cols>
    <col min="1" max="1" width="2" style="3" customWidth="1"/>
    <col min="2" max="2" width="177.28515625" style="3" customWidth="1"/>
    <col min="3" max="16384" width="11.42578125" style="3"/>
  </cols>
  <sheetData>
    <row r="1" spans="2:2" ht="12" customHeight="1" x14ac:dyDescent="0.25"/>
    <row r="2" spans="2:2" x14ac:dyDescent="0.25">
      <c r="B2" s="96" t="s">
        <v>56</v>
      </c>
    </row>
    <row r="3" spans="2:2" x14ac:dyDescent="0.25">
      <c r="B3" s="3" t="s">
        <v>58</v>
      </c>
    </row>
    <row r="4" spans="2:2" x14ac:dyDescent="0.25">
      <c r="B4" s="3" t="s">
        <v>60</v>
      </c>
    </row>
    <row r="5" spans="2:2" x14ac:dyDescent="0.25">
      <c r="B5" s="3" t="str">
        <f>"Le rendement annuel en bourse est de " &amp; TEXT(RENDEMENT_BOURSE, "0.00%") &amp;"."</f>
        <v>Le rendement annuel en bourse est de 7.00%.</v>
      </c>
    </row>
    <row r="6" spans="2:2" x14ac:dyDescent="0.25">
      <c r="B6" s="3" t="str">
        <f>"Le rendement annuel immobilier est de " &amp; TEXT(RENDEMENT_IMMO, "0.00%") &amp;"."</f>
        <v>Le rendement annuel immobilier est de 4.00%.</v>
      </c>
    </row>
    <row r="7" spans="2:2" x14ac:dyDescent="0.25">
      <c r="B7" s="3" t="str">
        <f>"L'inflation annuelle est de " &amp; TEXT(INFLATION, "0.00%") &amp;"."</f>
        <v>L'inflation annuelle est de 2.00%.</v>
      </c>
    </row>
    <row r="8" spans="2:2" x14ac:dyDescent="0.25">
      <c r="B8" s="3" t="s">
        <v>57</v>
      </c>
    </row>
    <row r="9" spans="2:2" x14ac:dyDescent="0.25">
      <c r="B9" s="3" t="s">
        <v>59</v>
      </c>
    </row>
    <row r="10" spans="2:2" x14ac:dyDescent="0.25">
      <c r="B10" s="3" t="s">
        <v>61</v>
      </c>
    </row>
    <row r="11" spans="2:2" x14ac:dyDescent="0.25">
      <c r="B11" s="3" t="s">
        <v>62</v>
      </c>
    </row>
    <row r="12" spans="2:2" x14ac:dyDescent="0.25">
      <c r="B12" s="3" t="s">
        <v>63</v>
      </c>
    </row>
    <row r="13" spans="2:2" x14ac:dyDescent="0.25">
      <c r="B13" s="3" t="s">
        <v>64</v>
      </c>
    </row>
    <row r="15" spans="2:2" x14ac:dyDescent="0.25">
      <c r="B15" s="96" t="s">
        <v>66</v>
      </c>
    </row>
    <row r="16" spans="2:2" x14ac:dyDescent="0.25">
      <c r="B16" s="3" t="s">
        <v>68</v>
      </c>
    </row>
    <row r="18" spans="2:2" x14ac:dyDescent="0.25">
      <c r="B18" s="96" t="s">
        <v>65</v>
      </c>
    </row>
    <row r="19" spans="2:2" x14ac:dyDescent="0.25">
      <c r="B19" s="3" t="s">
        <v>69</v>
      </c>
    </row>
    <row r="20" spans="2:2" x14ac:dyDescent="0.25">
      <c r="B20" s="83" t="s">
        <v>67</v>
      </c>
    </row>
  </sheetData>
  <hyperlinks>
    <hyperlink ref="B2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48</vt:i4>
      </vt:variant>
    </vt:vector>
  </HeadingPairs>
  <TitlesOfParts>
    <vt:vector size="52" baseType="lpstr">
      <vt:lpstr>LOUER OU ACHETER</vt:lpstr>
      <vt:lpstr>TABLEAU COMPARATIF</vt:lpstr>
      <vt:lpstr>DONNÉES HYPOTHÉCAIRES</vt:lpstr>
      <vt:lpstr>HYPOTHÈSES</vt:lpstr>
      <vt:lpstr>AUGMENTATION_LOYER</vt:lpstr>
      <vt:lpstr>AUTRES_FRAIS</vt:lpstr>
      <vt:lpstr>COMMISSION</vt:lpstr>
      <vt:lpstr>DEMARRAGE</vt:lpstr>
      <vt:lpstr>FRAIS_CONDO</vt:lpstr>
      <vt:lpstr>FRAIS_COPROPRIO</vt:lpstr>
      <vt:lpstr>INFLATION</vt:lpstr>
      <vt:lpstr>INTERET_MOIS</vt:lpstr>
      <vt:lpstr>LOYER</vt:lpstr>
      <vt:lpstr>MISE_FONDS</vt:lpstr>
      <vt:lpstr>NB_ANNEES</vt:lpstr>
      <vt:lpstr>NB_MOIS</vt:lpstr>
      <vt:lpstr>PRET_ANNEES</vt:lpstr>
      <vt:lpstr>PRET_AVANT_INTERET</vt:lpstr>
      <vt:lpstr>PRET_INTERET</vt:lpstr>
      <vt:lpstr>PRIX</vt:lpstr>
      <vt:lpstr>RATIO_PRIX_PRET</vt:lpstr>
      <vt:lpstr>RENDEMENT_BOURSE</vt:lpstr>
      <vt:lpstr>RENDEMENT_IMMO</vt:lpstr>
      <vt:lpstr>SCHL</vt:lpstr>
      <vt:lpstr>SOLDE0</vt:lpstr>
      <vt:lpstr>SOLDE1</vt:lpstr>
      <vt:lpstr>SOLDE10</vt:lpstr>
      <vt:lpstr>SOLDE11</vt:lpstr>
      <vt:lpstr>SOLDE12</vt:lpstr>
      <vt:lpstr>SOLDE13</vt:lpstr>
      <vt:lpstr>SOLDE14</vt:lpstr>
      <vt:lpstr>SOLDE15</vt:lpstr>
      <vt:lpstr>SOLDE16</vt:lpstr>
      <vt:lpstr>SOLDE17</vt:lpstr>
      <vt:lpstr>SOLDE18</vt:lpstr>
      <vt:lpstr>SOLDE19</vt:lpstr>
      <vt:lpstr>SOLDE2</vt:lpstr>
      <vt:lpstr>SOLDE20</vt:lpstr>
      <vt:lpstr>SOLDE21</vt:lpstr>
      <vt:lpstr>SOLDE22</vt:lpstr>
      <vt:lpstr>SOLDE23</vt:lpstr>
      <vt:lpstr>SOLDE24</vt:lpstr>
      <vt:lpstr>SOLDE25</vt:lpstr>
      <vt:lpstr>SOLDE3</vt:lpstr>
      <vt:lpstr>SOLDE4</vt:lpstr>
      <vt:lpstr>SOLDE5</vt:lpstr>
      <vt:lpstr>SOLDE6</vt:lpstr>
      <vt:lpstr>SOLDE7</vt:lpstr>
      <vt:lpstr>SOLDE8</vt:lpstr>
      <vt:lpstr>SOLDE9</vt:lpstr>
      <vt:lpstr>TAXES</vt:lpstr>
      <vt:lpstr>VERSEMENT_MENSUEL</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dc:creator>
  <cp:lastModifiedBy>JS</cp:lastModifiedBy>
  <dcterms:created xsi:type="dcterms:W3CDTF">2020-01-18T18:31:21Z</dcterms:created>
  <dcterms:modified xsi:type="dcterms:W3CDTF">2021-04-19T20:03:56Z</dcterms:modified>
</cp:coreProperties>
</file>